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agcoregon-my.sharepoint.com/personal/holta_agc-oregon_org/Documents/Desktop/"/>
    </mc:Choice>
  </mc:AlternateContent>
  <xr:revisionPtr revIDLastSave="5" documentId="8_{9F5C9F53-CA06-40A6-ABF5-A9691C9911D9}" xr6:coauthVersionLast="47" xr6:coauthVersionMax="47" xr10:uidLastSave="{302CD8B9-BCC9-4738-8816-2B8661A24A1A}"/>
  <workbookProtection workbookAlgorithmName="SHA-512" workbookHashValue="QubB0zLwyY/x6u++3qOS3GOKm03JlY7qbYwZBEtefRHYbK75CC1zpW61YdMYsu6kVbTZEiV0vmzcb9/fQ5UVeA==" workbookSaltValue="q9W1u1sB0rU4/ELJ9yvR2g==" workbookSpinCount="100000" lockStructure="1"/>
  <bookViews>
    <workbookView xWindow="-120" yWindow="-120" windowWidth="29040" windowHeight="15720" xr2:uid="{00000000-000D-0000-FFFF-FFFF00000000}"/>
  </bookViews>
  <sheets>
    <sheet name="Safety Data" sheetId="1" r:id="rId1"/>
    <sheet name="Notes On DQ and Errors" sheetId="4" state="hidden" r:id="rId2"/>
    <sheet name="Oregon Data" sheetId="3" state="hidden" r:id="rId3"/>
    <sheet name="Instructions for updating sheet" sheetId="5" state="hidden" r:id="rId4"/>
  </sheets>
  <definedNames>
    <definedName name="_xlnm.Print_Area" localSheetId="0">'Safety Data'!$A$1:$I$73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F32" i="1"/>
  <c r="F34" i="1" s="1"/>
  <c r="E7" i="3"/>
  <c r="J9" i="1"/>
  <c r="I9" i="1"/>
  <c r="A50" i="1"/>
  <c r="J16" i="1" s="1"/>
  <c r="J10" i="1"/>
  <c r="I10" i="1"/>
  <c r="H30" i="1"/>
  <c r="G30" i="1"/>
  <c r="F30" i="1"/>
  <c r="D62" i="1"/>
  <c r="D58" i="1"/>
  <c r="J36" i="1"/>
  <c r="J28" i="1"/>
  <c r="J26" i="1"/>
  <c r="J24" i="1"/>
  <c r="J20" i="1"/>
  <c r="I20" i="1"/>
  <c r="I36" i="1"/>
  <c r="M36" i="1"/>
  <c r="M34" i="1"/>
  <c r="H32" i="1"/>
  <c r="E22" i="3"/>
  <c r="E21" i="3"/>
  <c r="E20" i="3"/>
  <c r="E19" i="3"/>
  <c r="E18" i="3"/>
  <c r="E17" i="3"/>
  <c r="E16" i="3"/>
  <c r="E15" i="3"/>
  <c r="E14" i="3"/>
  <c r="E13" i="3"/>
  <c r="E12" i="3"/>
  <c r="E11" i="3"/>
  <c r="E10" i="3"/>
  <c r="E9" i="3"/>
  <c r="E8" i="3"/>
  <c r="D22" i="3"/>
  <c r="D21" i="3"/>
  <c r="D20" i="3"/>
  <c r="D19" i="3"/>
  <c r="D18" i="3"/>
  <c r="D17" i="3"/>
  <c r="D16" i="3"/>
  <c r="D15" i="3"/>
  <c r="D14" i="3"/>
  <c r="D13" i="3"/>
  <c r="D12" i="3"/>
  <c r="D11" i="3"/>
  <c r="D10" i="3"/>
  <c r="D9" i="3"/>
  <c r="D8" i="3"/>
  <c r="D7" i="3"/>
  <c r="C20" i="3"/>
  <c r="H18" i="1"/>
  <c r="G18" i="1"/>
  <c r="I28" i="1"/>
  <c r="A46" i="1"/>
  <c r="J22" i="1" s="1"/>
  <c r="H15" i="1"/>
  <c r="G15" i="1"/>
  <c r="F15" i="1"/>
  <c r="H4" i="1"/>
  <c r="G4" i="1"/>
  <c r="F4" i="1"/>
  <c r="C15" i="3"/>
  <c r="C7" i="3"/>
  <c r="C22" i="3"/>
  <c r="C21" i="3"/>
  <c r="C18" i="3"/>
  <c r="C17" i="3"/>
  <c r="C16" i="3"/>
  <c r="C14" i="3"/>
  <c r="C13" i="3"/>
  <c r="C12" i="3"/>
  <c r="C11" i="3"/>
  <c r="C10" i="3"/>
  <c r="C9" i="3"/>
  <c r="C8" i="3"/>
  <c r="C19" i="3"/>
  <c r="I16" i="1" l="1"/>
  <c r="I5" i="1"/>
  <c r="J5" i="1"/>
  <c r="I3" i="1"/>
  <c r="J3" i="1"/>
  <c r="F3" i="4"/>
  <c r="J32" i="1"/>
  <c r="I32" i="1"/>
  <c r="I22" i="1"/>
  <c r="I6" i="4"/>
  <c r="B56" i="1"/>
  <c r="B53" i="1"/>
  <c r="I26" i="1"/>
  <c r="I24" i="1"/>
  <c r="F18" i="1"/>
  <c r="A48" i="1"/>
  <c r="H34" i="1"/>
  <c r="G34" i="1"/>
  <c r="J12" i="1" l="1"/>
  <c r="B64" i="1"/>
  <c r="C64" i="1" s="1"/>
  <c r="D64" i="1" s="1"/>
  <c r="I12" i="1"/>
  <c r="A64" i="1"/>
  <c r="C63" i="1" s="1"/>
  <c r="D63" i="1" s="1"/>
  <c r="A56" i="1"/>
  <c r="A53" i="1"/>
  <c r="G5" i="4"/>
  <c r="G4" i="4"/>
  <c r="K32" i="1" l="1"/>
  <c r="L32" i="1"/>
  <c r="K28" i="1"/>
  <c r="L28" i="1"/>
  <c r="B60" i="1"/>
  <c r="C60" i="1" s="1"/>
  <c r="D60" i="1" s="1"/>
  <c r="A60" i="1"/>
  <c r="C59" i="1" s="1"/>
  <c r="D59" i="1" s="1"/>
  <c r="E64" i="1"/>
  <c r="K37" i="1" s="1"/>
  <c r="H5" i="4"/>
  <c r="I5" i="4" s="1"/>
  <c r="H4" i="4"/>
  <c r="I4" i="4" s="1"/>
  <c r="G56" i="1"/>
  <c r="M32" i="1" s="1"/>
  <c r="G53" i="1"/>
  <c r="J30" i="1" s="1"/>
  <c r="E60" i="1" l="1"/>
  <c r="K35" i="1" s="1"/>
  <c r="J34" i="1"/>
  <c r="J38" i="1" s="1"/>
  <c r="A41" i="1" s="1"/>
  <c r="M28" i="1"/>
  <c r="I34" i="1"/>
  <c r="I30" i="1"/>
  <c r="A39" i="1" l="1"/>
  <c r="K23" i="1"/>
  <c r="K20" i="1"/>
</calcChain>
</file>

<file path=xl/sharedStrings.xml><?xml version="1.0" encoding="utf-8"?>
<sst xmlns="http://schemas.openxmlformats.org/spreadsheetml/2006/main" count="122" uniqueCount="92">
  <si>
    <t xml:space="preserve"> PRIDE SAFETY DATA APPLICATION</t>
  </si>
  <si>
    <t xml:space="preserve">Instructions: Complete all yellow colored fields below. Note that if the year at the top of this form does not reflect this current year, this sheet is outdated and a new sheet should be obtained from your assigned SMC or by visiting the AGC safety awards webpage (click on the PRIDE logo at the top left corner of this sheet to launch the safety awards page). For questions on this form please reach out to Holt Andron at holta@agc-oregon.org or (503) 789-6992. </t>
  </si>
  <si>
    <t>Company Legal Name:</t>
  </si>
  <si>
    <t>Experience Rate Modification (ERM)</t>
  </si>
  <si>
    <t>Current Policy Period</t>
  </si>
  <si>
    <t>Your firm’s worker’s compensation ERM for the current policy year &amp; the three most recent completed policy years.</t>
  </si>
  <si>
    <t>FEIN  (Federal Employer ID Number)</t>
  </si>
  <si>
    <r>
      <t xml:space="preserve">Primary NAICS code here  </t>
    </r>
    <r>
      <rPr>
        <b/>
        <sz val="11"/>
        <color theme="1"/>
        <rFont val="Calibri"/>
        <family val="2"/>
      </rPr>
      <t>→</t>
    </r>
  </si>
  <si>
    <r>
      <t xml:space="preserve">Select the NAICS code that </t>
    </r>
    <r>
      <rPr>
        <u/>
        <sz val="9"/>
        <color theme="1"/>
        <rFont val="Calibri"/>
        <family val="2"/>
        <scheme val="minor"/>
      </rPr>
      <t>most accurately</t>
    </r>
    <r>
      <rPr>
        <sz val="9"/>
        <color theme="1"/>
        <rFont val="Calibri"/>
        <family val="2"/>
        <scheme val="minor"/>
      </rPr>
      <t xml:space="preserve"> describes your industry from the drop down menu to the right </t>
    </r>
    <r>
      <rPr>
        <sz val="9"/>
        <color theme="1"/>
        <rFont val="Calibri"/>
        <family val="2"/>
      </rPr>
      <t>→</t>
    </r>
    <r>
      <rPr>
        <sz val="9"/>
        <color theme="1"/>
        <rFont val="Calibri"/>
        <family val="2"/>
        <scheme val="minor"/>
      </rPr>
      <t xml:space="preserve"> </t>
    </r>
  </si>
  <si>
    <t>Click on the down arrow here to view drop down list -----&gt;</t>
  </si>
  <si>
    <t>Incurred Loss Ratio for Policy Year (ILR)</t>
  </si>
  <si>
    <t>Your firm’s worker’s compensation ILR for the three most recent completed policy years.</t>
  </si>
  <si>
    <t>OSHA Reporting &amp; Citation Information</t>
  </si>
  <si>
    <t>Calendar Year</t>
  </si>
  <si>
    <t>Your firm’s OSHA 300 log and form 300A information for the most recent three completed calendar years.</t>
  </si>
  <si>
    <t>1. Total employee-hours worked</t>
  </si>
  <si>
    <t>2. Total number of deaths (Total in column G of the OSHA 300 log)</t>
  </si>
  <si>
    <t>3. Total number of lost work-day cases injuries/illnesses (Total in column H of the OSHA 300 log)</t>
  </si>
  <si>
    <t>4. Total number of restricted or transferred cases, injuries/illnesses (Total in column I of the OSHA 300 log)</t>
  </si>
  <si>
    <t>3 Year DART Averages</t>
  </si>
  <si>
    <t>NAICS Avg.</t>
  </si>
  <si>
    <t>This Contractor</t>
  </si>
  <si>
    <t>Difference</t>
  </si>
  <si>
    <t>5. Total number of other recordable cases (Total in column J of the OSHA 300 log)</t>
  </si>
  <si>
    <t>6. Days Away, Restricted or Transferred (DART). This is automatically calculated.</t>
  </si>
  <si>
    <t>3 Year RIR Averages</t>
  </si>
  <si>
    <t>7. Total Recordable Injury/Illnesses (cases). This is automatically calculated.</t>
  </si>
  <si>
    <t>8. Recordable Incident Rate (RIR or TRIR). This is automatically calculated.</t>
  </si>
  <si>
    <t>Next Year's Chances if Zero Injuries in</t>
  </si>
  <si>
    <t>9. Willful OSHA Citations. Click on the link to the right to launch the OSHA establishment search page. Enter your company name in the website's search bar to review and verify your three-year citation history.</t>
  </si>
  <si>
    <t>Enter the number of listed willful citations here ---&gt;</t>
  </si>
  <si>
    <t>Next Year's Chances if Avg. Injuries in</t>
  </si>
  <si>
    <t>Fatalities</t>
  </si>
  <si>
    <t>Mod Rate (Most Recent Year)</t>
  </si>
  <si>
    <t>&lt;- All must be less than 1.0</t>
  </si>
  <si>
    <t>3 Year Average Loss Ratio</t>
  </si>
  <si>
    <t>DART</t>
  </si>
  <si>
    <t>3 Yr. Avg.</t>
  </si>
  <si>
    <t>&lt;--Must be less than NAICS average</t>
  </si>
  <si>
    <t>RIR</t>
  </si>
  <si>
    <t>Next Year's Chances (If no losses)</t>
  </si>
  <si>
    <t>Next Year's Chances (If average losses)</t>
  </si>
  <si>
    <t>Oregon Occupational Injury Tables</t>
  </si>
  <si>
    <t>https://digital.osl.state.or.us/islandora/object/osl:11342</t>
  </si>
  <si>
    <t>Drop down list for NAICS Instructions</t>
  </si>
  <si>
    <t>https://support.microsoft.com/en-gb/office/video-create-and-manage-drop-down-lists-28db87b6-725f-49d7-9b29-ab4bc56cefc2</t>
  </si>
  <si>
    <t>DART &amp; RIR (IR) PRIDE Qualification Notes:</t>
  </si>
  <si>
    <t>For this application, you have chosen NAICS code:</t>
  </si>
  <si>
    <t>Threshold</t>
  </si>
  <si>
    <t>Actual</t>
  </si>
  <si>
    <t>Based on the NAICS code chosen, the DART rate cannot exceed</t>
  </si>
  <si>
    <t>Based on the NAICS code chosen, the RIR (IR) cannot exceed</t>
  </si>
  <si>
    <t>Total injuries must equal time-loss, restricted, and other</t>
  </si>
  <si>
    <t>NAICS Codes &amp; Latest Data Table</t>
  </si>
  <si>
    <t>Click here for the latest DCBS report data----&gt;</t>
  </si>
  <si>
    <t>Note: If a years data is missing duplicate the most recent available years data.</t>
  </si>
  <si>
    <t>Note:  All of 2024 data was not published as of January 2026; AGC will use the same statistics for qualification in 2026 as we did in 2025.</t>
  </si>
  <si>
    <t>Three-Year Averages</t>
  </si>
  <si>
    <t>2023 Data</t>
  </si>
  <si>
    <t>2022 Data</t>
  </si>
  <si>
    <t>2021 Data</t>
  </si>
  <si>
    <t>NAICS Codes</t>
  </si>
  <si>
    <t>Industry Title</t>
  </si>
  <si>
    <t>Combo For Drop Down List</t>
  </si>
  <si>
    <t>Notes</t>
  </si>
  <si>
    <t>Construction of Buildings</t>
  </si>
  <si>
    <t>Duplicate of 2021 data</t>
  </si>
  <si>
    <t>Residential building construction</t>
  </si>
  <si>
    <t>Nonresidential building construction</t>
  </si>
  <si>
    <t>Heavy and civil construction</t>
  </si>
  <si>
    <t>Utility system construction</t>
  </si>
  <si>
    <t>Both stats carried over from 2020 data because not included in 2021 data</t>
  </si>
  <si>
    <t>Highway, street, and bridge construction</t>
  </si>
  <si>
    <t>Specialty trade contractors</t>
  </si>
  <si>
    <t>Foundation, structure, and building exterior contractors</t>
  </si>
  <si>
    <t>Poured concrete, foundation, and structure contractors</t>
  </si>
  <si>
    <t>RIR carried over from 2020 data because no data reported in 2021 data</t>
  </si>
  <si>
    <t>Roofing contractor</t>
  </si>
  <si>
    <t>Building equipment contractors</t>
  </si>
  <si>
    <t>Electrical contractors and other wiring installation contractors</t>
  </si>
  <si>
    <t>Plumbing, heating, and air-conditioning contractors</t>
  </si>
  <si>
    <t>Other building equipment contractors</t>
  </si>
  <si>
    <t>Added from 2021 data (not provided in 2020 or 2022 data)</t>
  </si>
  <si>
    <t>Building finishing contractors</t>
  </si>
  <si>
    <t>Drywall installation and repair contractors</t>
  </si>
  <si>
    <t>Notes on changes year-to-year that need to be made to this sheet, consider the following:</t>
  </si>
  <si>
    <t>1. Unprotect the sheet and at the top of the sheet change the year to the current PRIDE year. Ensure that all years in different categories update appropriately based on this number.</t>
  </si>
  <si>
    <t>2. Go to the Oregon DCBS page and look for the latest published data for NAICS DART and Incident Rates</t>
  </si>
  <si>
    <t>3. Update the link to the latest PDF DCBS report in L34</t>
  </si>
  <si>
    <t>4. Update the data in the Oregon Data Tab to reflect the latest rates.</t>
  </si>
  <si>
    <t>5. Test the drop down list to make sure that all data is accurate.</t>
  </si>
  <si>
    <t>6. Unhide the rows that feature the stats under the report to view calculations and test them for accuracy.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</si>
</sst>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_(* #,##0_);_(* \(#,##0\);_(* &quot;-&quot;??_);_(@_)"/>
    <numFmt numFmtId="166" formatCode="0.0"/>
  </numFmts>
  <fonts count="34" x14ac:knownFonts="1">
    <font>
      <sz val="11"/>
      <color theme="1"/>
      <name val="Calibri"/>
      <family val="2"/>
      <scheme val="minor"/>
    </font>
    <font>
      <b/>
      <sz val="11"/>
      <color theme="1"/>
      <name val="Calibri"/>
      <family val="2"/>
      <scheme val="minor"/>
    </font>
    <font>
      <sz val="9"/>
      <color theme="1"/>
      <name val="Calibri"/>
      <family val="2"/>
      <scheme val="minor"/>
    </font>
    <font>
      <u/>
      <sz val="11"/>
      <color theme="10"/>
      <name val="Calibri"/>
      <family val="2"/>
      <scheme val="minor"/>
    </font>
    <font>
      <b/>
      <sz val="20"/>
      <color theme="1"/>
      <name val="Calibri"/>
      <family val="2"/>
      <scheme val="minor"/>
    </font>
    <font>
      <sz val="11"/>
      <color theme="1"/>
      <name val="Calibri"/>
      <family val="2"/>
      <scheme val="minor"/>
    </font>
    <font>
      <sz val="36"/>
      <color rgb="FF00B050"/>
      <name val="Wingdings"/>
      <charset val="2"/>
    </font>
    <font>
      <b/>
      <sz val="18"/>
      <color theme="1"/>
      <name val="Calibri"/>
      <family val="2"/>
      <scheme val="minor"/>
    </font>
    <font>
      <sz val="11"/>
      <name val="Calibri"/>
      <family val="2"/>
      <scheme val="minor"/>
    </font>
    <font>
      <sz val="9"/>
      <name val="Calibri"/>
      <family val="2"/>
      <scheme val="minor"/>
    </font>
    <font>
      <sz val="12"/>
      <color theme="1"/>
      <name val="Calibri"/>
      <family val="2"/>
      <scheme val="minor"/>
    </font>
    <font>
      <sz val="28"/>
      <color rgb="FF00B050"/>
      <name val="Wingdings"/>
      <charset val="2"/>
    </font>
    <font>
      <i/>
      <sz val="11"/>
      <color theme="1"/>
      <name val="Calibri"/>
      <family val="2"/>
      <scheme val="minor"/>
    </font>
    <font>
      <b/>
      <sz val="26"/>
      <color theme="1"/>
      <name val="Calibri"/>
      <family val="2"/>
    </font>
    <font>
      <b/>
      <sz val="26"/>
      <color theme="1"/>
      <name val="Calibri"/>
      <family val="2"/>
      <scheme val="minor"/>
    </font>
    <font>
      <b/>
      <sz val="10"/>
      <color theme="1"/>
      <name val="Calibri"/>
      <family val="2"/>
      <scheme val="minor"/>
    </font>
    <font>
      <sz val="9.5"/>
      <color theme="1"/>
      <name val="Calibri"/>
      <family val="2"/>
      <scheme val="minor"/>
    </font>
    <font>
      <sz val="11"/>
      <color theme="0"/>
      <name val="Calibri"/>
      <family val="2"/>
      <scheme val="minor"/>
    </font>
    <font>
      <sz val="10"/>
      <color theme="1"/>
      <name val="Calibri"/>
      <family val="2"/>
      <scheme val="minor"/>
    </font>
    <font>
      <b/>
      <sz val="9.5"/>
      <color theme="1"/>
      <name val="Calibri"/>
      <family val="2"/>
      <scheme val="minor"/>
    </font>
    <font>
      <sz val="8"/>
      <color theme="1"/>
      <name val="Calibri"/>
      <family val="2"/>
      <scheme val="minor"/>
    </font>
    <font>
      <sz val="8"/>
      <color theme="1"/>
      <name val="Calibri"/>
      <family val="2"/>
    </font>
    <font>
      <b/>
      <sz val="20"/>
      <color theme="0"/>
      <name val="Calibri"/>
      <family val="2"/>
      <scheme val="minor"/>
    </font>
    <font>
      <sz val="11"/>
      <color theme="0"/>
      <name val="Calibri"/>
      <family val="2"/>
    </font>
    <font>
      <b/>
      <sz val="13"/>
      <color rgb="FF00B050"/>
      <name val="Calibri"/>
      <family val="2"/>
      <scheme val="minor"/>
    </font>
    <font>
      <b/>
      <sz val="13"/>
      <color rgb="FFFF0000"/>
      <name val="Calibri"/>
      <family val="2"/>
      <scheme val="minor"/>
    </font>
    <font>
      <u/>
      <sz val="9"/>
      <color theme="1"/>
      <name val="Calibri"/>
      <family val="2"/>
      <scheme val="minor"/>
    </font>
    <font>
      <b/>
      <sz val="11"/>
      <color theme="1"/>
      <name val="Calibri"/>
      <family val="2"/>
    </font>
    <font>
      <sz val="14"/>
      <color rgb="FF00B050"/>
      <name val="Wingdings"/>
      <charset val="2"/>
    </font>
    <font>
      <b/>
      <sz val="15"/>
      <color rgb="FF00B050"/>
      <name val="Calibri"/>
      <family val="2"/>
      <scheme val="minor"/>
    </font>
    <font>
      <sz val="9"/>
      <color theme="1"/>
      <name val="Calibri"/>
      <family val="2"/>
    </font>
    <font>
      <b/>
      <sz val="11"/>
      <color rgb="FF00B050"/>
      <name val="Calibri"/>
      <family val="2"/>
      <scheme val="minor"/>
    </font>
    <font>
      <sz val="11"/>
      <color rgb="FFFF0000"/>
      <name val="Calibri"/>
      <family val="2"/>
      <scheme val="minor"/>
    </font>
    <font>
      <sz val="11"/>
      <color theme="9" tint="-0.249977111117893"/>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4"/>
        <bgColor indexed="64"/>
      </patternFill>
    </fill>
    <fill>
      <patternFill patternType="solid">
        <fgColor theme="9"/>
        <bgColor indexed="64"/>
      </patternFill>
    </fill>
    <fill>
      <patternFill patternType="solid">
        <fgColor theme="1"/>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tint="0.49998474074526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43" fontId="5" fillId="0" borderId="0" applyFont="0" applyFill="0" applyBorder="0" applyAlignment="0" applyProtection="0"/>
  </cellStyleXfs>
  <cellXfs count="224">
    <xf numFmtId="0" fontId="0" fillId="0" borderId="0" xfId="0"/>
    <xf numFmtId="0" fontId="0" fillId="0" borderId="0" xfId="0" applyAlignment="1">
      <alignment horizontal="left"/>
    </xf>
    <xf numFmtId="0" fontId="1" fillId="0" borderId="0" xfId="0" applyFont="1"/>
    <xf numFmtId="0" fontId="0" fillId="0" borderId="0" xfId="0" applyAlignment="1">
      <alignment horizontal="left" vertical="center"/>
    </xf>
    <xf numFmtId="9" fontId="0" fillId="2" borderId="1" xfId="0" applyNumberFormat="1" applyFill="1" applyBorder="1" applyAlignment="1" applyProtection="1">
      <alignment horizontal="center" vertical="center"/>
      <protection locked="0"/>
    </xf>
    <xf numFmtId="0" fontId="4" fillId="0" borderId="18" xfId="0" applyFont="1" applyBorder="1"/>
    <xf numFmtId="0" fontId="4" fillId="0" borderId="19" xfId="0" applyFont="1" applyBorder="1"/>
    <xf numFmtId="0" fontId="1" fillId="0" borderId="1" xfId="0" applyFont="1"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0" fillId="0" borderId="7" xfId="0" applyBorder="1" applyAlignment="1">
      <alignment horizontal="center"/>
    </xf>
    <xf numFmtId="0" fontId="0" fillId="0" borderId="13" xfId="0" applyBorder="1" applyAlignment="1">
      <alignment horizontal="center"/>
    </xf>
    <xf numFmtId="0" fontId="0" fillId="0" borderId="12" xfId="0" applyBorder="1" applyAlignment="1">
      <alignment horizontal="left"/>
    </xf>
    <xf numFmtId="0" fontId="1" fillId="0" borderId="1" xfId="0" applyFont="1" applyBorder="1"/>
    <xf numFmtId="0" fontId="2" fillId="0" borderId="21" xfId="0" applyFont="1" applyBorder="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19" fillId="11" borderId="13" xfId="0" applyFont="1" applyFill="1" applyBorder="1" applyAlignment="1">
      <alignment horizontal="left" vertical="center"/>
    </xf>
    <xf numFmtId="0" fontId="20" fillId="9" borderId="1" xfId="0" applyFont="1" applyFill="1" applyBorder="1" applyAlignment="1">
      <alignment horizontal="center"/>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22" fillId="0" borderId="0" xfId="0" applyFont="1"/>
    <xf numFmtId="0" fontId="17" fillId="0" borderId="0" xfId="0" applyFont="1"/>
    <xf numFmtId="0" fontId="17" fillId="12" borderId="1" xfId="0" applyFont="1" applyFill="1" applyBorder="1" applyAlignment="1">
      <alignment horizontal="center"/>
    </xf>
    <xf numFmtId="0" fontId="17" fillId="12" borderId="1" xfId="0" applyFont="1" applyFill="1" applyBorder="1"/>
    <xf numFmtId="0" fontId="17" fillId="13" borderId="1" xfId="0" applyFont="1" applyFill="1" applyBorder="1" applyAlignment="1">
      <alignment horizontal="center"/>
    </xf>
    <xf numFmtId="0" fontId="17" fillId="13" borderId="1" xfId="0" applyFont="1" applyFill="1" applyBorder="1"/>
    <xf numFmtId="0" fontId="17" fillId="14" borderId="1" xfId="0" applyFont="1" applyFill="1" applyBorder="1" applyAlignment="1">
      <alignment horizontal="center"/>
    </xf>
    <xf numFmtId="0" fontId="17" fillId="14" borderId="1" xfId="0" applyFont="1" applyFill="1" applyBorder="1"/>
    <xf numFmtId="0" fontId="17" fillId="15" borderId="1" xfId="0" applyFont="1" applyFill="1" applyBorder="1" applyAlignment="1">
      <alignment horizontal="center"/>
    </xf>
    <xf numFmtId="0" fontId="17" fillId="15" borderId="1" xfId="0" applyFont="1" applyFill="1" applyBorder="1"/>
    <xf numFmtId="0" fontId="6" fillId="0" borderId="0" xfId="0" applyFont="1" applyAlignment="1">
      <alignment horizontal="center" vertical="center"/>
    </xf>
    <xf numFmtId="0" fontId="0" fillId="0" borderId="24" xfId="0" applyBorder="1" applyAlignment="1">
      <alignment horizontal="center" vertical="center" wrapText="1"/>
    </xf>
    <xf numFmtId="0" fontId="1" fillId="0" borderId="23" xfId="0" applyFont="1" applyBorder="1" applyAlignment="1">
      <alignment horizontal="center"/>
    </xf>
    <xf numFmtId="9" fontId="0" fillId="2" borderId="23" xfId="0" applyNumberFormat="1" applyFill="1" applyBorder="1" applyAlignment="1" applyProtection="1">
      <alignment horizontal="center" vertical="center"/>
      <protection locked="0"/>
    </xf>
    <xf numFmtId="0" fontId="1" fillId="0" borderId="23" xfId="0" applyFont="1" applyBorder="1"/>
    <xf numFmtId="0" fontId="1" fillId="0" borderId="31" xfId="0" applyFont="1" applyBorder="1" applyAlignment="1">
      <alignment horizontal="center" vertical="center" wrapText="1"/>
    </xf>
    <xf numFmtId="0" fontId="1" fillId="0" borderId="31" xfId="0" applyFont="1" applyBorder="1" applyAlignment="1">
      <alignment horizontal="center" vertical="center"/>
    </xf>
    <xf numFmtId="0" fontId="1" fillId="0" borderId="41" xfId="0" applyFont="1" applyBorder="1" applyAlignment="1">
      <alignment horizontal="center" vertical="center"/>
    </xf>
    <xf numFmtId="0" fontId="4" fillId="0" borderId="0" xfId="0" applyFont="1"/>
    <xf numFmtId="0" fontId="16" fillId="0" borderId="0" xfId="0" applyFont="1" applyAlignment="1">
      <alignment vertical="center" wrapText="1"/>
    </xf>
    <xf numFmtId="0" fontId="11" fillId="7" borderId="0" xfId="0" applyFont="1" applyFill="1" applyAlignment="1" applyProtection="1">
      <alignment horizontal="center" vertical="center"/>
      <protection locked="0"/>
    </xf>
    <xf numFmtId="0" fontId="6" fillId="0" borderId="0" xfId="0" applyFont="1" applyAlignment="1">
      <alignment vertical="center"/>
    </xf>
    <xf numFmtId="0" fontId="11" fillId="7" borderId="0" xfId="0" applyFont="1" applyFill="1" applyAlignment="1">
      <alignment horizontal="center"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42" xfId="0" applyFont="1" applyFill="1" applyBorder="1" applyAlignment="1">
      <alignment vertical="center"/>
    </xf>
    <xf numFmtId="0" fontId="28" fillId="7" borderId="0" xfId="0" applyFont="1" applyFill="1" applyAlignment="1">
      <alignment horizontal="center"/>
    </xf>
    <xf numFmtId="0" fontId="17" fillId="0" borderId="0" xfId="0" applyFont="1" applyAlignment="1">
      <alignment horizontal="center"/>
    </xf>
    <xf numFmtId="166" fontId="17" fillId="13" borderId="1" xfId="0" applyNumberFormat="1" applyFont="1" applyFill="1" applyBorder="1"/>
    <xf numFmtId="166" fontId="17" fillId="15" borderId="1" xfId="0" applyNumberFormat="1" applyFont="1" applyFill="1" applyBorder="1"/>
    <xf numFmtId="166" fontId="17" fillId="14" borderId="1" xfId="0" applyNumberFormat="1" applyFont="1" applyFill="1" applyBorder="1"/>
    <xf numFmtId="0" fontId="4" fillId="0" borderId="18" xfId="0" applyFont="1" applyBorder="1" applyAlignment="1">
      <alignment vertical="center"/>
    </xf>
    <xf numFmtId="0" fontId="2"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45" xfId="0" applyFont="1" applyBorder="1" applyAlignment="1">
      <alignment horizontal="left" vertical="center" wrapText="1"/>
    </xf>
    <xf numFmtId="0" fontId="2" fillId="0" borderId="12" xfId="0" applyFont="1" applyBorder="1" applyAlignment="1">
      <alignment horizontal="left" vertical="center" wrapText="1"/>
    </xf>
    <xf numFmtId="0" fontId="0" fillId="0" borderId="12" xfId="0" applyBorder="1" applyAlignment="1">
      <alignment horizontal="center" vertical="center"/>
    </xf>
    <xf numFmtId="0" fontId="0" fillId="0" borderId="44" xfId="0" applyBorder="1" applyAlignment="1">
      <alignment horizontal="center" vertical="center"/>
    </xf>
    <xf numFmtId="0" fontId="1" fillId="8" borderId="0" xfId="0" applyFont="1" applyFill="1"/>
    <xf numFmtId="0" fontId="0" fillId="8" borderId="0" xfId="0" applyFill="1"/>
    <xf numFmtId="0" fontId="1" fillId="3" borderId="0" xfId="0" applyFont="1" applyFill="1"/>
    <xf numFmtId="0" fontId="0" fillId="3" borderId="0" xfId="0" applyFill="1"/>
    <xf numFmtId="0" fontId="1" fillId="2" borderId="0" xfId="0" applyFont="1" applyFill="1"/>
    <xf numFmtId="0" fontId="0" fillId="2" borderId="0" xfId="0" applyFill="1"/>
    <xf numFmtId="10" fontId="0" fillId="2" borderId="0" xfId="0" applyNumberFormat="1" applyFill="1" applyAlignment="1">
      <alignment horizontal="center"/>
    </xf>
    <xf numFmtId="0" fontId="1" fillId="4" borderId="0" xfId="0" applyFont="1" applyFill="1" applyAlignment="1">
      <alignment horizontal="left"/>
    </xf>
    <xf numFmtId="0" fontId="0" fillId="4" borderId="0" xfId="0" applyFill="1"/>
    <xf numFmtId="164" fontId="0" fillId="4" borderId="0" xfId="0" applyNumberFormat="1" applyFill="1" applyAlignment="1">
      <alignment horizontal="center"/>
    </xf>
    <xf numFmtId="164" fontId="0" fillId="4" borderId="0" xfId="0" applyNumberFormat="1" applyFill="1"/>
    <xf numFmtId="164" fontId="1" fillId="5" borderId="0" xfId="0" applyNumberFormat="1" applyFont="1" applyFill="1" applyAlignment="1">
      <alignment horizontal="left"/>
    </xf>
    <xf numFmtId="0" fontId="0" fillId="5" borderId="0" xfId="0" applyFill="1"/>
    <xf numFmtId="164" fontId="0" fillId="5" borderId="0" xfId="0" applyNumberFormat="1" applyFill="1"/>
    <xf numFmtId="164" fontId="0" fillId="5" borderId="0" xfId="0" applyNumberFormat="1" applyFill="1" applyAlignment="1">
      <alignment horizontal="center"/>
    </xf>
    <xf numFmtId="164" fontId="0" fillId="0" borderId="0" xfId="0" applyNumberFormat="1" applyAlignment="1">
      <alignment horizontal="center"/>
    </xf>
    <xf numFmtId="164" fontId="0" fillId="0" borderId="0" xfId="0" applyNumberFormat="1"/>
    <xf numFmtId="164" fontId="1" fillId="11" borderId="0" xfId="0" applyNumberFormat="1" applyFont="1" applyFill="1" applyAlignment="1">
      <alignment horizontal="left"/>
    </xf>
    <xf numFmtId="0" fontId="0" fillId="11" borderId="0" xfId="0" applyFill="1"/>
    <xf numFmtId="0" fontId="20" fillId="11" borderId="0" xfId="0" applyFont="1" applyFill="1"/>
    <xf numFmtId="164" fontId="0" fillId="11" borderId="0" xfId="0" applyNumberFormat="1" applyFill="1"/>
    <xf numFmtId="164" fontId="20" fillId="11" borderId="0" xfId="0" applyNumberFormat="1" applyFont="1" applyFill="1" applyAlignment="1">
      <alignment horizontal="center"/>
    </xf>
    <xf numFmtId="0" fontId="20" fillId="11" borderId="0" xfId="0" applyFont="1" applyFill="1" applyAlignment="1">
      <alignment horizontal="center"/>
    </xf>
    <xf numFmtId="164" fontId="20" fillId="11" borderId="0" xfId="0" applyNumberFormat="1" applyFont="1" applyFill="1"/>
    <xf numFmtId="164" fontId="20" fillId="0" borderId="0" xfId="0" applyNumberFormat="1" applyFont="1" applyAlignment="1">
      <alignment horizontal="center"/>
    </xf>
    <xf numFmtId="0" fontId="20" fillId="0" borderId="0" xfId="0" applyFont="1" applyAlignment="1">
      <alignment horizontal="center"/>
    </xf>
    <xf numFmtId="0" fontId="20" fillId="0" borderId="0" xfId="0" applyFont="1"/>
    <xf numFmtId="0" fontId="3" fillId="0" borderId="0" xfId="1" applyBorder="1" applyProtection="1"/>
    <xf numFmtId="0" fontId="12" fillId="0" borderId="0" xfId="0" applyFont="1"/>
    <xf numFmtId="0" fontId="32" fillId="0" borderId="0" xfId="0" applyFont="1"/>
    <xf numFmtId="0" fontId="33" fillId="0" borderId="0" xfId="0" applyFont="1" applyAlignment="1">
      <alignment horizontal="left"/>
    </xf>
    <xf numFmtId="0" fontId="29" fillId="0" borderId="0" xfId="0" applyFont="1" applyAlignment="1">
      <alignment horizontal="center" vertical="center"/>
    </xf>
    <xf numFmtId="0" fontId="0" fillId="2" borderId="23" xfId="0" applyFill="1" applyBorder="1" applyAlignment="1" applyProtection="1">
      <alignment horizontal="center" vertical="center"/>
      <protection locked="0"/>
    </xf>
    <xf numFmtId="165" fontId="0" fillId="2" borderId="3" xfId="2" applyNumberFormat="1" applyFont="1" applyFill="1" applyBorder="1" applyAlignment="1" applyProtection="1">
      <alignment horizontal="center" vertical="center"/>
      <protection locked="0"/>
    </xf>
    <xf numFmtId="165" fontId="0" fillId="2" borderId="4" xfId="2" applyNumberFormat="1" applyFon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164" fontId="0" fillId="0" borderId="1" xfId="0" applyNumberFormat="1" applyBorder="1" applyAlignment="1">
      <alignment horizontal="center" vertical="center"/>
    </xf>
    <xf numFmtId="0" fontId="4" fillId="0" borderId="10" xfId="0" applyFont="1" applyBorder="1" applyAlignment="1">
      <alignment horizontal="center"/>
    </xf>
    <xf numFmtId="0" fontId="4" fillId="0" borderId="18" xfId="0" applyFont="1" applyBorder="1" applyAlignment="1">
      <alignment horizontal="center"/>
    </xf>
    <xf numFmtId="0" fontId="1" fillId="0" borderId="20" xfId="0" applyFont="1" applyBorder="1" applyAlignment="1">
      <alignment horizontal="left" vertical="center"/>
    </xf>
    <xf numFmtId="0" fontId="1" fillId="0" borderId="1" xfId="0" applyFont="1" applyBorder="1" applyAlignment="1">
      <alignment horizontal="left" vertical="center"/>
    </xf>
    <xf numFmtId="0" fontId="1" fillId="0" borderId="10" xfId="0" applyFont="1" applyBorder="1" applyAlignment="1">
      <alignment horizontal="left" vertical="center"/>
    </xf>
    <xf numFmtId="0" fontId="1" fillId="0" borderId="18" xfId="0" applyFont="1" applyBorder="1" applyAlignment="1">
      <alignment horizontal="left" vertical="center"/>
    </xf>
    <xf numFmtId="0" fontId="2" fillId="0" borderId="20" xfId="0" applyFont="1" applyBorder="1" applyAlignment="1">
      <alignment horizontal="left" vertical="center" wrapText="1"/>
    </xf>
    <xf numFmtId="0" fontId="2" fillId="0" borderId="1" xfId="0" applyFont="1" applyBorder="1" applyAlignment="1">
      <alignment horizontal="left" vertical="center" wrapText="1"/>
    </xf>
    <xf numFmtId="0" fontId="2" fillId="0" borderId="46" xfId="0" applyFont="1" applyBorder="1" applyAlignment="1">
      <alignment horizontal="left" vertical="center" wrapText="1"/>
    </xf>
    <xf numFmtId="0" fontId="2" fillId="0" borderId="3" xfId="0" applyFont="1" applyBorder="1" applyAlignment="1">
      <alignment horizontal="left" vertical="center" wrapText="1"/>
    </xf>
    <xf numFmtId="0" fontId="0" fillId="2" borderId="1" xfId="0" applyFill="1" applyBorder="1" applyAlignment="1" applyProtection="1">
      <alignment horizontal="center" vertical="center"/>
      <protection locked="0"/>
    </xf>
    <xf numFmtId="165" fontId="0" fillId="2" borderId="1" xfId="2" applyNumberFormat="1" applyFont="1" applyFill="1" applyBorder="1" applyAlignment="1" applyProtection="1">
      <alignment horizontal="center" vertical="center"/>
      <protection locked="0"/>
    </xf>
    <xf numFmtId="0" fontId="2" fillId="0" borderId="9" xfId="0" applyFont="1" applyBorder="1" applyAlignment="1">
      <alignment horizontal="left" vertical="center" wrapText="1"/>
    </xf>
    <xf numFmtId="0" fontId="2" fillId="0" borderId="20" xfId="0" applyFont="1" applyBorder="1" applyAlignment="1">
      <alignment horizontal="left" vertical="center"/>
    </xf>
    <xf numFmtId="0" fontId="2" fillId="0" borderId="1" xfId="0" applyFont="1" applyBorder="1" applyAlignment="1">
      <alignment horizontal="left" vertical="center"/>
    </xf>
    <xf numFmtId="0" fontId="2" fillId="0" borderId="25"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16" fillId="0" borderId="11" xfId="0" applyFont="1" applyBorder="1" applyAlignment="1">
      <alignment horizontal="left" vertical="center" wrapText="1"/>
    </xf>
    <xf numFmtId="0" fontId="16" fillId="0" borderId="32" xfId="0" applyFont="1" applyBorder="1" applyAlignment="1">
      <alignment horizontal="left" vertical="center" wrapText="1"/>
    </xf>
    <xf numFmtId="0" fontId="16" fillId="0" borderId="39" xfId="0" applyFont="1" applyBorder="1" applyAlignment="1">
      <alignment horizontal="left" vertical="center" wrapText="1"/>
    </xf>
    <xf numFmtId="0" fontId="1" fillId="0" borderId="20" xfId="0" applyFont="1" applyBorder="1" applyAlignment="1">
      <alignment horizontal="center" vertical="center"/>
    </xf>
    <xf numFmtId="0" fontId="1" fillId="0" borderId="1" xfId="0" applyFont="1" applyBorder="1" applyAlignment="1">
      <alignment horizontal="center" vertical="center"/>
    </xf>
    <xf numFmtId="0" fontId="0" fillId="2" borderId="9"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1" fillId="7" borderId="0" xfId="0" applyFont="1" applyFill="1" applyAlignment="1">
      <alignment horizontal="center" vertical="center"/>
    </xf>
    <xf numFmtId="0" fontId="0" fillId="2" borderId="37"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40"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2" fillId="0" borderId="21"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10" fillId="2" borderId="6"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42" xfId="0" applyFont="1" applyFill="1" applyBorder="1" applyAlignment="1" applyProtection="1">
      <alignment horizontal="center" vertical="center" wrapText="1"/>
      <protection locked="0"/>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0" fillId="2" borderId="4"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6" fillId="0" borderId="0" xfId="0" applyFont="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165" fontId="0" fillId="2" borderId="23" xfId="2" applyNumberFormat="1" applyFont="1" applyFill="1" applyBorder="1" applyAlignment="1" applyProtection="1">
      <alignment horizontal="center" vertical="center"/>
      <protection locked="0"/>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left" vertical="center"/>
    </xf>
    <xf numFmtId="164" fontId="3" fillId="0" borderId="0" xfId="1" applyNumberFormat="1" applyFill="1" applyBorder="1" applyAlignment="1" applyProtection="1">
      <alignment horizontal="center" vertical="center"/>
    </xf>
    <xf numFmtId="164" fontId="0" fillId="0" borderId="0" xfId="0" applyNumberFormat="1" applyAlignment="1">
      <alignment horizontal="center" vertical="center"/>
    </xf>
    <xf numFmtId="0" fontId="0" fillId="2" borderId="3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19" fillId="11" borderId="9" xfId="0" applyFont="1" applyFill="1" applyBorder="1" applyAlignment="1">
      <alignment horizontal="left" vertical="center"/>
    </xf>
    <xf numFmtId="0" fontId="19" fillId="11" borderId="12" xfId="0" applyFont="1" applyFill="1" applyBorder="1" applyAlignment="1">
      <alignment horizontal="left" vertical="center"/>
    </xf>
    <xf numFmtId="0" fontId="18" fillId="11" borderId="1" xfId="0" applyFont="1" applyFill="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3" fillId="0" borderId="0" xfId="0" applyFont="1" applyAlignment="1">
      <alignment horizontal="center" vertical="center"/>
    </xf>
    <xf numFmtId="0" fontId="17" fillId="0" borderId="0" xfId="0" applyFont="1" applyAlignment="1">
      <alignment horizontal="center"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164" fontId="3" fillId="6" borderId="10" xfId="1" applyNumberFormat="1" applyFill="1" applyBorder="1" applyAlignment="1" applyProtection="1">
      <alignment horizontal="center" vertical="center"/>
    </xf>
    <xf numFmtId="164" fontId="0" fillId="6" borderId="11" xfId="0" applyNumberFormat="1" applyFill="1" applyBorder="1" applyAlignment="1">
      <alignment horizontal="center" vertical="center"/>
    </xf>
    <xf numFmtId="164" fontId="9" fillId="0" borderId="1" xfId="1" applyNumberFormat="1" applyFont="1" applyBorder="1" applyAlignment="1" applyProtection="1">
      <alignment horizontal="center" vertical="center" wrapText="1"/>
    </xf>
    <xf numFmtId="164" fontId="9" fillId="0" borderId="27" xfId="0" applyNumberFormat="1" applyFont="1" applyBorder="1" applyAlignment="1">
      <alignment horizontal="center" vertical="center" wrapText="1"/>
    </xf>
    <xf numFmtId="1" fontId="8" fillId="2" borderId="23" xfId="1" applyNumberFormat="1" applyFont="1" applyFill="1" applyBorder="1" applyAlignment="1" applyProtection="1">
      <alignment horizontal="center" vertical="center"/>
      <protection locked="0"/>
    </xf>
    <xf numFmtId="1" fontId="8" fillId="2" borderId="29" xfId="0" applyNumberFormat="1" applyFont="1" applyFill="1" applyBorder="1" applyAlignment="1" applyProtection="1">
      <alignment horizontal="center" vertical="center"/>
      <protection locked="0"/>
    </xf>
    <xf numFmtId="0" fontId="0" fillId="0" borderId="23" xfId="0" applyBorder="1" applyAlignment="1">
      <alignment horizontal="center" vertical="center"/>
    </xf>
    <xf numFmtId="164" fontId="0" fillId="0" borderId="3" xfId="0" applyNumberFormat="1" applyBorder="1" applyAlignment="1">
      <alignment horizontal="center" vertical="center"/>
    </xf>
    <xf numFmtId="0" fontId="24" fillId="0" borderId="0" xfId="0" applyFont="1" applyAlignment="1">
      <alignment horizontal="center" vertical="center" wrapText="1"/>
    </xf>
    <xf numFmtId="0" fontId="24" fillId="0" borderId="15" xfId="0" applyFont="1" applyBorder="1" applyAlignment="1">
      <alignment horizontal="center" vertical="center" wrapText="1"/>
    </xf>
    <xf numFmtId="0" fontId="25" fillId="0" borderId="0" xfId="0" applyFont="1" applyAlignment="1">
      <alignment horizontal="center" vertical="center" wrapText="1"/>
    </xf>
    <xf numFmtId="0" fontId="19" fillId="9" borderId="9" xfId="0" applyFont="1" applyFill="1" applyBorder="1" applyAlignment="1">
      <alignment horizontal="center" vertical="center"/>
    </xf>
    <xf numFmtId="0" fontId="19" fillId="9" borderId="12" xfId="0" applyFont="1" applyFill="1" applyBorder="1" applyAlignment="1">
      <alignment horizontal="center" vertical="center"/>
    </xf>
    <xf numFmtId="0" fontId="19" fillId="9" borderId="13" xfId="0" applyFont="1" applyFill="1" applyBorder="1" applyAlignment="1">
      <alignment horizontal="center" vertical="center"/>
    </xf>
    <xf numFmtId="0" fontId="19" fillId="10" borderId="9" xfId="0" applyFont="1" applyFill="1" applyBorder="1" applyAlignment="1">
      <alignment horizontal="center" vertical="center"/>
    </xf>
    <xf numFmtId="0" fontId="19" fillId="10" borderId="12" xfId="0" applyFont="1" applyFill="1" applyBorder="1" applyAlignment="1">
      <alignment horizontal="center" vertical="center"/>
    </xf>
    <xf numFmtId="0" fontId="19" fillId="10" borderId="13" xfId="0" applyFont="1" applyFill="1" applyBorder="1" applyAlignment="1">
      <alignment horizontal="center" vertical="center"/>
    </xf>
    <xf numFmtId="0" fontId="18" fillId="11" borderId="9" xfId="0" applyFont="1" applyFill="1" applyBorder="1" applyAlignment="1">
      <alignment horizontal="center" vertical="center"/>
    </xf>
    <xf numFmtId="0" fontId="18" fillId="11" borderId="12" xfId="0" applyFont="1" applyFill="1" applyBorder="1" applyAlignment="1">
      <alignment horizontal="center" vertical="center"/>
    </xf>
    <xf numFmtId="0" fontId="18" fillId="11" borderId="13" xfId="0" applyFont="1" applyFill="1" applyBorder="1" applyAlignment="1">
      <alignment horizontal="center" vertical="center"/>
    </xf>
    <xf numFmtId="2" fontId="20" fillId="9" borderId="3" xfId="0" applyNumberFormat="1" applyFont="1" applyFill="1" applyBorder="1" applyAlignment="1">
      <alignment horizontal="center" vertical="center"/>
    </xf>
    <xf numFmtId="2" fontId="20" fillId="9" borderId="4" xfId="0" applyNumberFormat="1" applyFont="1" applyFill="1" applyBorder="1" applyAlignment="1">
      <alignment horizontal="center" vertical="center"/>
    </xf>
    <xf numFmtId="2" fontId="21" fillId="9" borderId="3" xfId="0" applyNumberFormat="1" applyFont="1" applyFill="1" applyBorder="1" applyAlignment="1">
      <alignment horizontal="center" vertical="center"/>
    </xf>
    <xf numFmtId="2" fontId="21" fillId="9" borderId="4" xfId="0" applyNumberFormat="1" applyFont="1" applyFill="1" applyBorder="1" applyAlignment="1">
      <alignment horizontal="center" vertical="center"/>
    </xf>
    <xf numFmtId="2" fontId="20" fillId="10" borderId="3" xfId="0" applyNumberFormat="1" applyFont="1" applyFill="1" applyBorder="1" applyAlignment="1">
      <alignment horizontal="center" vertical="center"/>
    </xf>
    <xf numFmtId="2" fontId="20" fillId="10" borderId="4" xfId="0" applyNumberFormat="1" applyFont="1" applyFill="1" applyBorder="1" applyAlignment="1">
      <alignment horizontal="center" vertical="center"/>
    </xf>
    <xf numFmtId="2" fontId="21" fillId="10" borderId="3" xfId="0" applyNumberFormat="1" applyFont="1" applyFill="1" applyBorder="1" applyAlignment="1">
      <alignment horizontal="center" vertical="center"/>
    </xf>
    <xf numFmtId="2" fontId="21" fillId="10" borderId="4" xfId="0" applyNumberFormat="1" applyFont="1" applyFill="1" applyBorder="1" applyAlignment="1">
      <alignment horizontal="center" vertical="center"/>
    </xf>
    <xf numFmtId="0" fontId="19" fillId="11" borderId="9" xfId="0" applyFont="1" applyFill="1" applyBorder="1" applyAlignment="1">
      <alignment horizontal="center" vertical="center"/>
    </xf>
    <xf numFmtId="0" fontId="19" fillId="11" borderId="12" xfId="0" applyFont="1" applyFill="1" applyBorder="1" applyAlignment="1">
      <alignment horizontal="center" vertical="center"/>
    </xf>
    <xf numFmtId="0" fontId="31" fillId="0" borderId="0" xfId="0" applyFont="1" applyAlignment="1">
      <alignment horizontal="center"/>
    </xf>
    <xf numFmtId="0" fontId="17" fillId="0" borderId="5" xfId="0" applyFont="1" applyBorder="1" applyAlignment="1">
      <alignment horizontal="center"/>
    </xf>
    <xf numFmtId="0" fontId="17" fillId="0" borderId="0" xfId="0" applyFont="1" applyAlignment="1">
      <alignment horizontal="center"/>
    </xf>
    <xf numFmtId="0" fontId="0" fillId="2" borderId="38" xfId="0" applyFill="1" applyBorder="1" applyAlignment="1" applyProtection="1">
      <alignment horizontal="center" vertical="center"/>
      <protection locked="0"/>
    </xf>
    <xf numFmtId="164" fontId="0" fillId="0" borderId="23" xfId="0" applyNumberFormat="1" applyBorder="1" applyAlignment="1">
      <alignment horizontal="center" vertical="center"/>
    </xf>
    <xf numFmtId="0" fontId="0" fillId="0" borderId="1" xfId="0" applyBorder="1" applyAlignment="1"/>
    <xf numFmtId="0" fontId="0" fillId="0" borderId="9" xfId="0" applyBorder="1" applyAlignment="1"/>
    <xf numFmtId="0" fontId="0" fillId="0" borderId="6" xfId="0" applyBorder="1"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7" fillId="0" borderId="0" xfId="0" applyFont="1" applyAlignment="1">
      <alignment horizontal="center" vertical="center"/>
    </xf>
    <xf numFmtId="0" fontId="17" fillId="15" borderId="9" xfId="0" applyFont="1" applyFill="1" applyBorder="1" applyAlignment="1">
      <alignment horizontal="center"/>
    </xf>
    <xf numFmtId="0" fontId="17" fillId="15" borderId="12" xfId="0" applyFont="1" applyFill="1" applyBorder="1" applyAlignment="1">
      <alignment horizontal="center"/>
    </xf>
    <xf numFmtId="0" fontId="17" fillId="15" borderId="13" xfId="0" applyFont="1" applyFill="1" applyBorder="1" applyAlignment="1">
      <alignment horizontal="center"/>
    </xf>
    <xf numFmtId="0" fontId="17" fillId="14" borderId="9" xfId="0" applyFont="1" applyFill="1" applyBorder="1" applyAlignment="1">
      <alignment horizontal="center"/>
    </xf>
    <xf numFmtId="0" fontId="17" fillId="14" borderId="12" xfId="0" applyFont="1" applyFill="1" applyBorder="1" applyAlignment="1">
      <alignment horizontal="center"/>
    </xf>
    <xf numFmtId="0" fontId="17" fillId="14" borderId="13" xfId="0" applyFont="1" applyFill="1" applyBorder="1" applyAlignment="1">
      <alignment horizontal="center"/>
    </xf>
    <xf numFmtId="0" fontId="17" fillId="13" borderId="9" xfId="0" applyFont="1" applyFill="1" applyBorder="1" applyAlignment="1">
      <alignment horizontal="center"/>
    </xf>
    <xf numFmtId="0" fontId="17" fillId="13" borderId="12" xfId="0" applyFont="1" applyFill="1" applyBorder="1" applyAlignment="1">
      <alignment horizontal="center"/>
    </xf>
    <xf numFmtId="0" fontId="17" fillId="13" borderId="13" xfId="0" applyFont="1" applyFill="1" applyBorder="1" applyAlignment="1">
      <alignment horizontal="center"/>
    </xf>
    <xf numFmtId="0" fontId="17" fillId="12" borderId="1" xfId="0" applyFont="1" applyFill="1" applyBorder="1" applyAlignment="1">
      <alignment horizontal="center"/>
    </xf>
    <xf numFmtId="0" fontId="0" fillId="0" borderId="0" xfId="0" applyAlignment="1">
      <alignment horizontal="left"/>
    </xf>
    <xf numFmtId="0" fontId="0" fillId="0" borderId="0" xfId="0" applyAlignment="1">
      <alignment horizontal="right" vertical="center"/>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F3B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gc-oregon.org/services/safety/safety-awards/" TargetMode="External"/><Relationship Id="rId2" Type="http://schemas.openxmlformats.org/officeDocument/2006/relationships/image" Target="../media/image1.jpeg"/><Relationship Id="rId1" Type="http://schemas.openxmlformats.org/officeDocument/2006/relationships/hyperlink" Target="https://www.osha.gov/pls/imis/establishment.html" TargetMode="External"/><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oregon.gov/DCBS/reports/protection/Pages/bls-programs.aspx"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56445</xdr:colOff>
      <xdr:row>35</xdr:row>
      <xdr:rowOff>77611</xdr:rowOff>
    </xdr:from>
    <xdr:to>
      <xdr:col>5</xdr:col>
      <xdr:colOff>804333</xdr:colOff>
      <xdr:row>36</xdr:row>
      <xdr:rowOff>246945</xdr:rowOff>
    </xdr:to>
    <xdr:pic>
      <xdr:nvPicPr>
        <xdr:cNvPr id="3" name="Picture 2">
          <a:hlinkClick xmlns:r="http://schemas.openxmlformats.org/officeDocument/2006/relationships" r:id="rId1"/>
          <a:extLst>
            <a:ext uri="{FF2B5EF4-FFF2-40B4-BE49-F238E27FC236}">
              <a16:creationId xmlns:a16="http://schemas.microsoft.com/office/drawing/2014/main" id="{EDC5A230-9718-47B7-B5AA-D15ED3ECB5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6112" y="8128000"/>
          <a:ext cx="747888" cy="444500"/>
        </a:xfrm>
        <a:prstGeom prst="rect">
          <a:avLst/>
        </a:prstGeom>
      </xdr:spPr>
    </xdr:pic>
    <xdr:clientData/>
  </xdr:twoCellAnchor>
  <xdr:twoCellAnchor>
    <xdr:from>
      <xdr:col>0</xdr:col>
      <xdr:colOff>194025</xdr:colOff>
      <xdr:row>0</xdr:row>
      <xdr:rowOff>33860</xdr:rowOff>
    </xdr:from>
    <xdr:to>
      <xdr:col>1</xdr:col>
      <xdr:colOff>388057</xdr:colOff>
      <xdr:row>0</xdr:row>
      <xdr:rowOff>814917</xdr:rowOff>
    </xdr:to>
    <xdr:pic>
      <xdr:nvPicPr>
        <xdr:cNvPr id="5" name="Picture 4">
          <a:hlinkClick xmlns:r="http://schemas.openxmlformats.org/officeDocument/2006/relationships" r:id="rId3"/>
          <a:extLst>
            <a:ext uri="{FF2B5EF4-FFF2-40B4-BE49-F238E27FC236}">
              <a16:creationId xmlns:a16="http://schemas.microsoft.com/office/drawing/2014/main" id="{666E1D15-2C60-463D-B543-AA53A041FA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4025" y="33860"/>
          <a:ext cx="776115" cy="781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138288</xdr:colOff>
      <xdr:row>1</xdr:row>
      <xdr:rowOff>5292</xdr:rowOff>
    </xdr:to>
    <xdr:pic>
      <xdr:nvPicPr>
        <xdr:cNvPr id="9" name="Picture 8">
          <a:hlinkClick xmlns:r="http://schemas.openxmlformats.org/officeDocument/2006/relationships" r:id="rId1"/>
          <a:extLst>
            <a:ext uri="{FF2B5EF4-FFF2-40B4-BE49-F238E27FC236}">
              <a16:creationId xmlns:a16="http://schemas.microsoft.com/office/drawing/2014/main" id="{106407C5-8CCD-4916-97D5-4E467ABF96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44275" y="0"/>
          <a:ext cx="747888" cy="4339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upport.microsoft.com/en-gb/office/video-create-and-manage-drop-down-lists-28db87b6-725f-49d7-9b29-ab4bc56cefc2" TargetMode="External"/><Relationship Id="rId1" Type="http://schemas.openxmlformats.org/officeDocument/2006/relationships/hyperlink" Target="https://digital.osl.state.or.us/islandora/object/osl:11342"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4"/>
  <sheetViews>
    <sheetView showGridLines="0" tabSelected="1" zoomScale="90" zoomScaleNormal="90" workbookViewId="0">
      <selection activeCell="S12" sqref="S12"/>
    </sheetView>
  </sheetViews>
  <sheetFormatPr defaultColWidth="8.7109375" defaultRowHeight="15" x14ac:dyDescent="0.25"/>
  <cols>
    <col min="3" max="3" width="14.5703125" customWidth="1"/>
    <col min="4" max="4" width="7.42578125" customWidth="1"/>
    <col min="5" max="7" width="12.42578125" bestFit="1" customWidth="1"/>
    <col min="8" max="8" width="12.7109375" bestFit="1" customWidth="1"/>
    <col min="9" max="9" width="7.7109375" hidden="1" customWidth="1"/>
    <col min="10" max="10" width="3.28515625" style="22" hidden="1" customWidth="1"/>
    <col min="11" max="11" width="20.5703125" hidden="1" customWidth="1"/>
    <col min="12" max="12" width="14.7109375" hidden="1" customWidth="1"/>
    <col min="13" max="13" width="17.5703125" hidden="1" customWidth="1"/>
    <col min="14" max="14" width="8.7109375" hidden="1" customWidth="1"/>
  </cols>
  <sheetData>
    <row r="1" spans="1:11" ht="66" customHeight="1" x14ac:dyDescent="0.4">
      <c r="A1" s="98"/>
      <c r="B1" s="99"/>
      <c r="C1" s="52">
        <v>2026</v>
      </c>
      <c r="D1" s="52" t="s">
        <v>0</v>
      </c>
      <c r="E1" s="5"/>
      <c r="F1" s="5"/>
      <c r="G1" s="5"/>
      <c r="H1" s="6"/>
      <c r="I1" s="39"/>
      <c r="J1" s="21"/>
    </row>
    <row r="2" spans="1:11" ht="66" customHeight="1" x14ac:dyDescent="0.4">
      <c r="A2" s="119" t="s">
        <v>1</v>
      </c>
      <c r="B2" s="120"/>
      <c r="C2" s="120"/>
      <c r="D2" s="120"/>
      <c r="E2" s="120"/>
      <c r="F2" s="120"/>
      <c r="G2" s="120"/>
      <c r="H2" s="121"/>
      <c r="I2" s="40"/>
      <c r="J2" s="21"/>
    </row>
    <row r="3" spans="1:11" ht="20.25" customHeight="1" thickBot="1" x14ac:dyDescent="0.3">
      <c r="A3" s="127" t="s">
        <v>2</v>
      </c>
      <c r="B3" s="128"/>
      <c r="C3" s="129"/>
      <c r="D3" s="131"/>
      <c r="E3" s="132"/>
      <c r="F3" s="132"/>
      <c r="G3" s="132"/>
      <c r="H3" s="133"/>
      <c r="I3" s="41" t="str">
        <f>IF(D3&gt;=0.01,CHAR(252),"")</f>
        <v/>
      </c>
      <c r="J3" s="22" t="str">
        <f>IF(D3&gt;=0.01,1,"")</f>
        <v/>
      </c>
    </row>
    <row r="4" spans="1:11" ht="33" customHeight="1" x14ac:dyDescent="0.25">
      <c r="A4" s="102" t="s">
        <v>3</v>
      </c>
      <c r="B4" s="103"/>
      <c r="C4" s="103"/>
      <c r="D4" s="103"/>
      <c r="E4" s="36" t="s">
        <v>4</v>
      </c>
      <c r="F4" s="37" t="str">
        <f>_xlfn.CONCAT(C1-2,"/", C1-1)</f>
        <v>2024/2025</v>
      </c>
      <c r="G4" s="37" t="str">
        <f>_xlfn.CONCAT(C1-3,"/", C1-2)</f>
        <v>2023/2024</v>
      </c>
      <c r="H4" s="38" t="str">
        <f>_xlfn.CONCAT(C1-4,"/", C1-3)</f>
        <v>2022/2023</v>
      </c>
    </row>
    <row r="5" spans="1:11" ht="14.45" customHeight="1" x14ac:dyDescent="0.25">
      <c r="A5" s="104" t="s">
        <v>5</v>
      </c>
      <c r="B5" s="105"/>
      <c r="C5" s="105"/>
      <c r="D5" s="105"/>
      <c r="E5" s="108"/>
      <c r="F5" s="95"/>
      <c r="G5" s="95"/>
      <c r="H5" s="157"/>
      <c r="I5" s="130" t="str">
        <f>IF(H5&lt;&gt;"",IF(G5&lt;&gt;"",IF(F5&lt;&gt;"",IF(E5&lt;&gt;"",IF(E5&lt;=1,CHAR(252),""),""),""),""),"")</f>
        <v/>
      </c>
      <c r="J5" s="201" t="str">
        <f>IF(H5&lt;&gt;"",IF(G5&lt;&gt;"",IF(F5&lt;&gt;"",IF(E5&lt;&gt;"",IF(E5&lt;=1,1,""),""),""),""),"")</f>
        <v/>
      </c>
    </row>
    <row r="6" spans="1:11" x14ac:dyDescent="0.25">
      <c r="A6" s="104"/>
      <c r="B6" s="105"/>
      <c r="C6" s="105"/>
      <c r="D6" s="105"/>
      <c r="E6" s="108"/>
      <c r="F6" s="134"/>
      <c r="G6" s="134"/>
      <c r="H6" s="202"/>
      <c r="I6" s="130"/>
      <c r="J6" s="201"/>
    </row>
    <row r="7" spans="1:11" ht="9" customHeight="1" x14ac:dyDescent="0.25">
      <c r="A7" s="106"/>
      <c r="B7" s="107"/>
      <c r="C7" s="107"/>
      <c r="D7" s="107"/>
      <c r="E7" s="95"/>
      <c r="F7" s="134"/>
      <c r="G7" s="134"/>
      <c r="H7" s="202"/>
      <c r="I7" s="130"/>
      <c r="J7" s="201"/>
    </row>
    <row r="8" spans="1:11" ht="9" customHeight="1" x14ac:dyDescent="0.25">
      <c r="A8" s="56"/>
      <c r="B8" s="57"/>
      <c r="C8" s="57"/>
      <c r="D8" s="57"/>
      <c r="E8" s="58"/>
      <c r="F8" s="58"/>
      <c r="G8" s="58"/>
      <c r="H8" s="59"/>
      <c r="I8" s="43"/>
      <c r="J8" s="48"/>
    </row>
    <row r="9" spans="1:11" ht="17.25" customHeight="1" x14ac:dyDescent="0.25">
      <c r="A9" s="144" t="s">
        <v>6</v>
      </c>
      <c r="B9" s="145"/>
      <c r="C9" s="145"/>
      <c r="D9" s="145"/>
      <c r="E9" s="145"/>
      <c r="F9" s="146"/>
      <c r="G9" s="146"/>
      <c r="H9" s="147"/>
      <c r="I9" s="47" t="str">
        <f>IF(F9&gt;=0.01,CHAR(252),"")</f>
        <v/>
      </c>
      <c r="J9" s="22" t="str">
        <f>IF(F9&gt;=0.01,1,"")</f>
        <v/>
      </c>
    </row>
    <row r="10" spans="1:11" ht="17.100000000000001" customHeight="1" x14ac:dyDescent="0.25">
      <c r="A10" s="122" t="s">
        <v>7</v>
      </c>
      <c r="B10" s="123"/>
      <c r="C10" s="123"/>
      <c r="D10" s="123"/>
      <c r="E10" s="123"/>
      <c r="F10" s="124"/>
      <c r="G10" s="125"/>
      <c r="H10" s="126"/>
      <c r="I10" s="47" t="str">
        <f>IF(F10&gt;=0.01,CHAR(252),"")</f>
        <v/>
      </c>
      <c r="J10" s="22" t="str">
        <f>IF(F10&gt;=0.01,1,"")</f>
        <v/>
      </c>
    </row>
    <row r="11" spans="1:11" ht="44.1" hidden="1" customHeight="1" x14ac:dyDescent="0.25">
      <c r="A11" s="135" t="s">
        <v>8</v>
      </c>
      <c r="B11" s="136"/>
      <c r="C11" s="137"/>
      <c r="D11" s="44"/>
      <c r="E11" s="45"/>
      <c r="F11" s="45"/>
      <c r="G11" s="45"/>
      <c r="H11" s="46"/>
      <c r="I11" s="42"/>
    </row>
    <row r="12" spans="1:11" ht="18" customHeight="1" x14ac:dyDescent="0.25">
      <c r="A12" s="135"/>
      <c r="B12" s="136"/>
      <c r="C12" s="137"/>
      <c r="D12" s="138" t="s">
        <v>9</v>
      </c>
      <c r="E12" s="139"/>
      <c r="F12" s="139"/>
      <c r="G12" s="139"/>
      <c r="H12" s="140"/>
      <c r="I12" s="130" t="str">
        <f>IF(B56&gt;=0.01,CHAR(252),"")</f>
        <v/>
      </c>
      <c r="J12" s="201" t="str">
        <f>IF(B56&gt;=0.01,1,"")</f>
        <v/>
      </c>
      <c r="K12" s="3"/>
    </row>
    <row r="13" spans="1:11" ht="20.45" customHeight="1" x14ac:dyDescent="0.25">
      <c r="A13" s="116"/>
      <c r="B13" s="117"/>
      <c r="C13" s="118"/>
      <c r="D13" s="141"/>
      <c r="E13" s="142"/>
      <c r="F13" s="142"/>
      <c r="G13" s="142"/>
      <c r="H13" s="143"/>
      <c r="I13" s="130"/>
      <c r="J13" s="201"/>
    </row>
    <row r="14" spans="1:11" ht="9.6" customHeight="1" x14ac:dyDescent="0.25">
      <c r="A14" s="14"/>
      <c r="B14" s="53"/>
      <c r="C14" s="53"/>
      <c r="D14" s="53"/>
      <c r="E14" s="54"/>
      <c r="F14" s="55"/>
      <c r="G14" s="55"/>
      <c r="H14" s="32"/>
      <c r="I14" s="31"/>
    </row>
    <row r="15" spans="1:11" x14ac:dyDescent="0.25">
      <c r="A15" s="100" t="s">
        <v>10</v>
      </c>
      <c r="B15" s="101"/>
      <c r="C15" s="101"/>
      <c r="D15" s="101"/>
      <c r="E15" s="101"/>
      <c r="F15" s="7" t="str">
        <f>_xlfn.CONCAT(C1-2,"/", C1-1)</f>
        <v>2024/2025</v>
      </c>
      <c r="G15" s="7" t="str">
        <f>_xlfn.CONCAT(C1-3,"/", C1-2)</f>
        <v>2023/2024</v>
      </c>
      <c r="H15" s="33" t="str">
        <f>_xlfn.CONCAT(C1-4,"/", C1-3)</f>
        <v>2022/2023</v>
      </c>
    </row>
    <row r="16" spans="1:11" ht="26.1" customHeight="1" x14ac:dyDescent="0.25">
      <c r="A16" s="104" t="s">
        <v>11</v>
      </c>
      <c r="B16" s="105"/>
      <c r="C16" s="105"/>
      <c r="D16" s="105"/>
      <c r="E16" s="105"/>
      <c r="F16" s="4"/>
      <c r="G16" s="4"/>
      <c r="H16" s="34"/>
      <c r="I16" s="43" t="str">
        <f>IF(F16&lt;&gt;"",IF(G16&lt;&gt;"",IF(H16&lt;&gt;"",IF('Safety Data'!A50&lt;=0.4,CHAR(252),""),""),""),"")</f>
        <v/>
      </c>
      <c r="J16" s="22" t="str">
        <f>IF(F16&lt;&gt;"",IF(G16&lt;&gt;"",IF(H16&lt;&gt;"",IF('Safety Data'!A50&lt;=0.4,1,"0"),""),""),"")</f>
        <v/>
      </c>
    </row>
    <row r="17" spans="1:17" x14ac:dyDescent="0.25">
      <c r="A17" s="100" t="s">
        <v>12</v>
      </c>
      <c r="B17" s="101"/>
      <c r="C17" s="101"/>
      <c r="D17" s="101"/>
      <c r="E17" s="154"/>
      <c r="F17" s="13" t="s">
        <v>13</v>
      </c>
      <c r="G17" s="13" t="s">
        <v>13</v>
      </c>
      <c r="H17" s="35" t="s">
        <v>13</v>
      </c>
    </row>
    <row r="18" spans="1:17" ht="14.45" customHeight="1" x14ac:dyDescent="0.25">
      <c r="A18" s="104" t="s">
        <v>14</v>
      </c>
      <c r="B18" s="105"/>
      <c r="C18" s="105"/>
      <c r="D18" s="105"/>
      <c r="E18" s="110"/>
      <c r="F18" s="152">
        <f>C1-1</f>
        <v>2025</v>
      </c>
      <c r="G18" s="152">
        <f>C1-2</f>
        <v>2024</v>
      </c>
      <c r="H18" s="149">
        <f>C1-3</f>
        <v>2023</v>
      </c>
      <c r="I18" s="148"/>
    </row>
    <row r="19" spans="1:17" ht="11.1" customHeight="1" x14ac:dyDescent="0.25">
      <c r="A19" s="104"/>
      <c r="B19" s="105"/>
      <c r="C19" s="105"/>
      <c r="D19" s="105"/>
      <c r="E19" s="110"/>
      <c r="F19" s="153"/>
      <c r="G19" s="153"/>
      <c r="H19" s="150"/>
      <c r="I19" s="148"/>
    </row>
    <row r="20" spans="1:17" ht="14.45" customHeight="1" x14ac:dyDescent="0.25">
      <c r="A20" s="111" t="s">
        <v>15</v>
      </c>
      <c r="B20" s="112"/>
      <c r="C20" s="112"/>
      <c r="D20" s="112"/>
      <c r="E20" s="112"/>
      <c r="F20" s="109"/>
      <c r="G20" s="93"/>
      <c r="H20" s="151"/>
      <c r="I20" s="130" t="str">
        <f>IF(F20&lt;&gt;"",IF(G20&lt;&gt;"",IF(H20&lt;&gt;"",IF('Safety Data'!H20&gt;=0,CHAR(252),""),""),""),"")</f>
        <v/>
      </c>
      <c r="J20" s="201" t="str">
        <f>IF(F20&lt;&gt;"",IF(G20&lt;&gt;"",IF(H20&lt;&gt;"",IF('Safety Data'!H20&gt;=0,1,"0"),""),""),"")</f>
        <v/>
      </c>
      <c r="K20" s="179" t="str">
        <f>IF(J3&lt;&gt;"",IF(J5&lt;&gt;"",IF(J12&lt;&gt;"",IF(J16&lt;&gt;"",IF(J20&lt;&gt;"",IF(J22&lt;&gt;"",IF(J24&lt;&gt;"",IF(J26&lt;&gt;"",IF(J28&lt;&gt;"",IF(J30&lt;&gt;"",IF(J32&lt;&gt;"",IF(J34&lt;&gt;"",IF(J36&lt;&gt;"",IFERROR(IF(J38&lt;13,"THIS CONTRACTOR DOES NOT QUALIFY FOR THE PRIDE AWARD",""),""),""),""),""),""),""),""),""),""),""),""),""),""),"")</f>
        <v/>
      </c>
      <c r="L20" s="179"/>
      <c r="M20" s="179"/>
      <c r="O20" s="16"/>
    </row>
    <row r="21" spans="1:17" ht="12.95" customHeight="1" x14ac:dyDescent="0.25">
      <c r="A21" s="111"/>
      <c r="B21" s="112"/>
      <c r="C21" s="112"/>
      <c r="D21" s="112"/>
      <c r="E21" s="112"/>
      <c r="F21" s="109"/>
      <c r="G21" s="94"/>
      <c r="H21" s="151"/>
      <c r="I21" s="130"/>
      <c r="J21" s="201"/>
      <c r="K21" s="179"/>
      <c r="L21" s="179"/>
      <c r="M21" s="179"/>
    </row>
    <row r="22" spans="1:17" ht="14.45" customHeight="1" x14ac:dyDescent="0.25">
      <c r="A22" s="104" t="s">
        <v>16</v>
      </c>
      <c r="B22" s="105"/>
      <c r="C22" s="105"/>
      <c r="D22" s="105"/>
      <c r="E22" s="105"/>
      <c r="F22" s="108"/>
      <c r="G22" s="95"/>
      <c r="H22" s="92"/>
      <c r="I22" s="130" t="str">
        <f>IF(F22&lt;&gt;"",IF(G22&lt;&gt;"",IF(H22&lt;&gt;"",IF(A46=0,CHAR(252),""),""),""),"")</f>
        <v/>
      </c>
      <c r="J22" s="201" t="str">
        <f>IF(F22&lt;&gt;"",IF(G22&lt;&gt;"",IF(H22&lt;&gt;"",IF(A46=0,1,"0"),""),""),"")</f>
        <v/>
      </c>
      <c r="K22" s="179"/>
      <c r="L22" s="179"/>
      <c r="M22" s="179"/>
    </row>
    <row r="23" spans="1:17" ht="12.6" customHeight="1" x14ac:dyDescent="0.25">
      <c r="A23" s="104"/>
      <c r="B23" s="105"/>
      <c r="C23" s="105"/>
      <c r="D23" s="105"/>
      <c r="E23" s="105"/>
      <c r="F23" s="108"/>
      <c r="G23" s="96"/>
      <c r="H23" s="92"/>
      <c r="I23" s="130"/>
      <c r="J23" s="201"/>
      <c r="K23" s="177" t="str">
        <f>IFERROR(IF(J38&gt;=15,"THIS CONTRACTOR HAS PASSED THE STATISTICAL QUALIFICATIONS!",""), "")</f>
        <v/>
      </c>
      <c r="L23" s="177"/>
      <c r="M23" s="177"/>
    </row>
    <row r="24" spans="1:17" ht="14.45" customHeight="1" x14ac:dyDescent="0.25">
      <c r="A24" s="104" t="s">
        <v>17</v>
      </c>
      <c r="B24" s="105"/>
      <c r="C24" s="105"/>
      <c r="D24" s="105"/>
      <c r="E24" s="105"/>
      <c r="F24" s="108"/>
      <c r="G24" s="95"/>
      <c r="H24" s="92"/>
      <c r="I24" s="130" t="str">
        <f>IF(F24&lt;&gt;"",IF(G24&lt;&gt;"",IF(H24&lt;&gt;"",IF('Safety Data'!H24&gt;=0,CHAR(252),""),""),""),"")</f>
        <v/>
      </c>
      <c r="J24" s="201" t="str">
        <f>IF(F24&lt;&gt;"",IF(G24&lt;&gt;"",IF(H24&lt;&gt;"",IF('Safety Data'!H24&gt;=0,1,"0"),""),""),"")</f>
        <v/>
      </c>
      <c r="K24" s="177"/>
      <c r="L24" s="177"/>
      <c r="M24" s="177"/>
    </row>
    <row r="25" spans="1:17" ht="11.45" customHeight="1" x14ac:dyDescent="0.25">
      <c r="A25" s="104"/>
      <c r="B25" s="105"/>
      <c r="C25" s="105"/>
      <c r="D25" s="105"/>
      <c r="E25" s="105"/>
      <c r="F25" s="108"/>
      <c r="G25" s="96"/>
      <c r="H25" s="92"/>
      <c r="I25" s="130"/>
      <c r="J25" s="201"/>
      <c r="K25" s="178"/>
      <c r="L25" s="178"/>
      <c r="M25" s="178"/>
    </row>
    <row r="26" spans="1:17" ht="14.45" customHeight="1" x14ac:dyDescent="0.25">
      <c r="A26" s="113" t="s">
        <v>18</v>
      </c>
      <c r="B26" s="114"/>
      <c r="C26" s="114"/>
      <c r="D26" s="114"/>
      <c r="E26" s="115"/>
      <c r="F26" s="108"/>
      <c r="G26" s="95"/>
      <c r="H26" s="92"/>
      <c r="I26" s="130" t="str">
        <f>IF(F26&lt;&gt;"",IF(G26&lt;&gt;"",IF(H26&lt;&gt;"",IF('Safety Data'!H26&gt;=0,CHAR(252),""),""),""),"")</f>
        <v/>
      </c>
      <c r="J26" s="200" t="str">
        <f>IF(F26&lt;&gt;"",IF(G26&lt;&gt;"",IF(H26&lt;&gt;"",IF('Safety Data'!H26&gt;=0,1,"0"),""),""),"")</f>
        <v/>
      </c>
      <c r="K26" s="180" t="s">
        <v>19</v>
      </c>
      <c r="L26" s="181"/>
      <c r="M26" s="182"/>
    </row>
    <row r="27" spans="1:17" ht="11.45" customHeight="1" x14ac:dyDescent="0.25">
      <c r="A27" s="116"/>
      <c r="B27" s="117"/>
      <c r="C27" s="117"/>
      <c r="D27" s="117"/>
      <c r="E27" s="118"/>
      <c r="F27" s="108"/>
      <c r="G27" s="96"/>
      <c r="H27" s="92"/>
      <c r="I27" s="130"/>
      <c r="J27" s="200"/>
      <c r="K27" s="18" t="s">
        <v>20</v>
      </c>
      <c r="L27" s="18" t="s">
        <v>21</v>
      </c>
      <c r="M27" s="18" t="s">
        <v>22</v>
      </c>
    </row>
    <row r="28" spans="1:17" ht="11.45" customHeight="1" x14ac:dyDescent="0.25">
      <c r="A28" s="113" t="s">
        <v>23</v>
      </c>
      <c r="B28" s="114"/>
      <c r="C28" s="114"/>
      <c r="D28" s="114"/>
      <c r="E28" s="115"/>
      <c r="F28" s="95"/>
      <c r="G28" s="95"/>
      <c r="H28" s="157"/>
      <c r="I28" s="130" t="str">
        <f>IF(F28&lt;&gt;"",IF(G28&lt;&gt;"",IF(H28&lt;&gt;"",IF('Safety Data'!H28&gt;=0,CHAR(252),""),""),""),"")</f>
        <v/>
      </c>
      <c r="J28" s="200" t="str">
        <f>IF(F28&lt;&gt;"",IF(G28&lt;&gt;"",IF(H28&lt;&gt;"",IF('Safety Data'!H28&gt;=0,1,"0"),""),""),"")</f>
        <v/>
      </c>
      <c r="K28" s="189" t="str">
        <f>IF(I3&lt;&gt;"",IF(I12&lt;&gt;"",B53,""),"")</f>
        <v/>
      </c>
      <c r="L28" s="189" t="str">
        <f>IF(I3&lt;&gt;"",IF(I12&lt;&gt;"",IFERROR(A53, ""),""),"")</f>
        <v/>
      </c>
      <c r="M28" s="191" t="str">
        <f>IF(I3&lt;&gt;"",IF(I12&lt;&gt;"",IFERROR(G53, ""),""),"")</f>
        <v/>
      </c>
    </row>
    <row r="29" spans="1:17" ht="11.45" customHeight="1" x14ac:dyDescent="0.25">
      <c r="A29" s="116"/>
      <c r="B29" s="117"/>
      <c r="C29" s="117"/>
      <c r="D29" s="117"/>
      <c r="E29" s="118"/>
      <c r="F29" s="96"/>
      <c r="G29" s="96"/>
      <c r="H29" s="158"/>
      <c r="I29" s="130"/>
      <c r="J29" s="200"/>
      <c r="K29" s="190"/>
      <c r="L29" s="190"/>
      <c r="M29" s="192"/>
    </row>
    <row r="30" spans="1:17" ht="14.45" customHeight="1" x14ac:dyDescent="0.25">
      <c r="A30" s="104" t="s">
        <v>24</v>
      </c>
      <c r="B30" s="105"/>
      <c r="C30" s="105"/>
      <c r="D30" s="105"/>
      <c r="E30" s="105"/>
      <c r="F30" s="97" t="str">
        <f>IF(F26&lt;&gt;"",IF(F24&lt;&gt;"",IF(F20&lt;&gt;"",IFERROR(((F22+F24+F26)*200000)/F20,""),""),""),"")</f>
        <v/>
      </c>
      <c r="G30" s="97" t="str">
        <f>IF(G26&lt;&gt;"",IF(G24&lt;&gt;"",IF(G20&lt;&gt;"",IFERROR(((G22+G24+G26)*200000)/G20,""),""),""),"")</f>
        <v/>
      </c>
      <c r="H30" s="203" t="str">
        <f>IF(H26&lt;&gt;"",IF(H24&lt;&gt;"",IF(H20&lt;&gt;"",IFERROR(((H22+H24+H26)*200000)/H20,""),""),""),"")</f>
        <v/>
      </c>
      <c r="I30" s="130" t="str">
        <f>IF(F30&lt;&gt;"",IF(G30&lt;&gt;"",IF(H30&lt;&gt;"",IF('Safety Data'!G53&lt;=0,CHAR(252),""),""),""),"")</f>
        <v/>
      </c>
      <c r="J30" s="164" t="str">
        <f>IF(F30&lt;&gt;"",IF(G30&lt;&gt;"",IF(H30&lt;&gt;"",IF('Safety Data'!G53&lt;=0,1,"0"),""),""),"")</f>
        <v/>
      </c>
      <c r="K30" s="183" t="s">
        <v>25</v>
      </c>
      <c r="L30" s="184"/>
      <c r="M30" s="185"/>
      <c r="Q30" s="162"/>
    </row>
    <row r="31" spans="1:17" ht="10.5" customHeight="1" x14ac:dyDescent="0.25">
      <c r="A31" s="104"/>
      <c r="B31" s="105"/>
      <c r="C31" s="105"/>
      <c r="D31" s="105"/>
      <c r="E31" s="105"/>
      <c r="F31" s="97"/>
      <c r="G31" s="97"/>
      <c r="H31" s="203"/>
      <c r="I31" s="130"/>
      <c r="J31" s="165"/>
      <c r="K31" s="19" t="s">
        <v>20</v>
      </c>
      <c r="L31" s="19" t="s">
        <v>21</v>
      </c>
      <c r="M31" s="20" t="s">
        <v>22</v>
      </c>
      <c r="Q31" s="163"/>
    </row>
    <row r="32" spans="1:17" ht="14.45" customHeight="1" x14ac:dyDescent="0.25">
      <c r="A32" s="104" t="s">
        <v>26</v>
      </c>
      <c r="B32" s="105"/>
      <c r="C32" s="105"/>
      <c r="D32" s="105"/>
      <c r="E32" s="105"/>
      <c r="F32" s="175" t="str">
        <f t="shared" ref="F32:G32" si="0">IF(F28&lt;&gt;"",IF(F26&lt;&gt;"",IF(F24&lt;&gt;"",IF(F22&lt;&gt;"",IFERROR((F22+F24+F26+F28),""),""),""),""),"")</f>
        <v/>
      </c>
      <c r="G32" s="175" t="str">
        <f t="shared" si="0"/>
        <v/>
      </c>
      <c r="H32" s="175" t="str">
        <f>IF(H28&lt;&gt;"",IF(H26&lt;&gt;"",IF(H24&lt;&gt;"",IF(H22&lt;&gt;"",IFERROR((H22+H24+H26+H28),""),""),""),""),"")</f>
        <v/>
      </c>
      <c r="I32" s="130" t="str">
        <f>IF(F32&lt;&gt;"",IF(G32&lt;&gt;"",IF(H32&lt;&gt;"",IF((H32+G32+F32)=(F22+F24+G22+G24+H22+H24+F26+G26+H26+F28+G28+H28),CHAR(252),""),""),""),"")</f>
        <v/>
      </c>
      <c r="J32" s="200" t="str">
        <f>IF(F32&lt;&gt;"",IF(G32&lt;&gt;"",IF(H32&lt;&gt;"",IF((H32+G32+F32)=(F22+F24+G22+G24+H22+H24+F26+G26+H26+F28+G28+H28),1,"0"),""),""),"")</f>
        <v/>
      </c>
      <c r="K32" s="193" t="str">
        <f>IF(I3&lt;&gt;"",IF(I12&lt;&gt;"",B56,""),"")</f>
        <v/>
      </c>
      <c r="L32" s="193" t="str">
        <f>IF(I3&lt;&gt;"",IF(I12&lt;&gt;"",IFERROR(A56, ""),""),"")</f>
        <v/>
      </c>
      <c r="M32" s="195" t="str">
        <f>IF(I3&lt;&gt;"",IF(I12&lt;&gt;"",IFERROR(G56, ""),""),"")</f>
        <v/>
      </c>
      <c r="Q32" s="15"/>
    </row>
    <row r="33" spans="1:19" ht="12.95" customHeight="1" x14ac:dyDescent="0.25">
      <c r="A33" s="104"/>
      <c r="B33" s="105"/>
      <c r="C33" s="105"/>
      <c r="D33" s="105"/>
      <c r="E33" s="105"/>
      <c r="F33" s="175"/>
      <c r="G33" s="175"/>
      <c r="H33" s="175"/>
      <c r="I33" s="130"/>
      <c r="J33" s="200"/>
      <c r="K33" s="194"/>
      <c r="L33" s="194"/>
      <c r="M33" s="196"/>
      <c r="Q33" s="15"/>
    </row>
    <row r="34" spans="1:19" ht="14.45" customHeight="1" x14ac:dyDescent="0.25">
      <c r="A34" s="113" t="s">
        <v>27</v>
      </c>
      <c r="B34" s="114"/>
      <c r="C34" s="114"/>
      <c r="D34" s="114"/>
      <c r="E34" s="115"/>
      <c r="F34" s="97" t="str">
        <f>IF(F32&lt;&gt;"",IFERROR((F32*200000)/F20,""),"")</f>
        <v/>
      </c>
      <c r="G34" s="97" t="str">
        <f>IF(G32&lt;&gt;"",IFERROR((G32*200000)/G20,""),"")</f>
        <v/>
      </c>
      <c r="H34" s="203" t="str">
        <f>IF(H32&lt;&gt;"",IFERROR((H32*200000)/H20,""),"")</f>
        <v/>
      </c>
      <c r="I34" s="130" t="str">
        <f>IF(F34&lt;&gt;"",IF(G34&lt;&gt;"",IF(H34&lt;&gt;"",IF('Safety Data'!G56&lt;=0,CHAR(252),""),""),""),"")</f>
        <v/>
      </c>
      <c r="J34" s="164" t="str">
        <f>IF(F34&lt;&gt;"",IF(G34&lt;&gt;"",IF(H34&lt;&gt;"",IF('Safety Data'!G56&lt;=0,1,"0"),""),""),"")</f>
        <v/>
      </c>
      <c r="K34" s="197" t="s">
        <v>28</v>
      </c>
      <c r="L34" s="198"/>
      <c r="M34" s="17">
        <f>$C$1</f>
        <v>2026</v>
      </c>
      <c r="Q34" s="162"/>
    </row>
    <row r="35" spans="1:19" ht="14.45" customHeight="1" thickBot="1" x14ac:dyDescent="0.3">
      <c r="A35" s="116"/>
      <c r="B35" s="117"/>
      <c r="C35" s="117"/>
      <c r="D35" s="117"/>
      <c r="E35" s="118"/>
      <c r="F35" s="176"/>
      <c r="G35" s="97"/>
      <c r="H35" s="203"/>
      <c r="I35" s="130"/>
      <c r="J35" s="165"/>
      <c r="K35" s="186" t="str">
        <f>IF(I3&lt;&gt;"",IF(I12&lt;&gt;"",IFERROR(IF(E60&lt;0,"Good!","It's unlikely they will qualify next year either"), ""),""),"")</f>
        <v/>
      </c>
      <c r="L35" s="187"/>
      <c r="M35" s="188"/>
      <c r="Q35" s="163"/>
    </row>
    <row r="36" spans="1:19" ht="21.6" customHeight="1" x14ac:dyDescent="0.25">
      <c r="A36" s="104" t="s">
        <v>29</v>
      </c>
      <c r="B36" s="105"/>
      <c r="C36" s="105"/>
      <c r="D36" s="105"/>
      <c r="E36" s="110"/>
      <c r="F36" s="169"/>
      <c r="G36" s="171" t="s">
        <v>30</v>
      </c>
      <c r="H36" s="173"/>
      <c r="I36" s="130" t="str">
        <f>IF(H36&lt;&gt;"",IF(H36=0,CHAR(252),""),"")</f>
        <v/>
      </c>
      <c r="J36" s="200" t="str">
        <f>IF(H36&lt;&gt;"",IF(H36=0,1,"0"),"")</f>
        <v/>
      </c>
      <c r="K36" s="159" t="s">
        <v>31</v>
      </c>
      <c r="L36" s="160"/>
      <c r="M36" s="17">
        <f>$C$1</f>
        <v>2026</v>
      </c>
      <c r="S36" s="155"/>
    </row>
    <row r="37" spans="1:19" ht="26.45" customHeight="1" thickBot="1" x14ac:dyDescent="0.3">
      <c r="A37" s="166"/>
      <c r="B37" s="167"/>
      <c r="C37" s="167"/>
      <c r="D37" s="167"/>
      <c r="E37" s="168"/>
      <c r="F37" s="170"/>
      <c r="G37" s="172"/>
      <c r="H37" s="174"/>
      <c r="I37" s="130"/>
      <c r="J37" s="200"/>
      <c r="K37" s="161" t="str">
        <f>IF(I3&lt;&gt;"",IF(I12&lt;&gt;"",IFERROR(IF(E64&lt;0,"Good!","Bad"), ""),""),"")</f>
        <v/>
      </c>
      <c r="L37" s="161"/>
      <c r="M37" s="161"/>
      <c r="S37" s="156"/>
    </row>
    <row r="38" spans="1:19" ht="16.5" hidden="1" customHeight="1" x14ac:dyDescent="0.25">
      <c r="J38" s="22">
        <f>SUM(J3:J37)</f>
        <v>0</v>
      </c>
    </row>
    <row r="39" spans="1:19" hidden="1" x14ac:dyDescent="0.25">
      <c r="A39" s="91" t="str">
        <f>IFERROR(IF(J38&gt;=15,"THIS PORTION OF THE PRIDE APPLICATION IS READY FOR SUBMISSION!",""), "")</f>
        <v/>
      </c>
      <c r="B39" s="91"/>
      <c r="C39" s="91"/>
      <c r="D39" s="91"/>
      <c r="E39" s="91"/>
      <c r="F39" s="91"/>
      <c r="G39" s="91"/>
      <c r="H39" s="91"/>
    </row>
    <row r="40" spans="1:19" x14ac:dyDescent="0.25">
      <c r="A40" s="91"/>
      <c r="B40" s="91"/>
      <c r="C40" s="91"/>
      <c r="D40" s="91"/>
      <c r="E40" s="91"/>
      <c r="F40" s="91"/>
      <c r="G40" s="91"/>
      <c r="H40" s="91"/>
    </row>
    <row r="41" spans="1:19" x14ac:dyDescent="0.25">
      <c r="A41" s="199" t="str">
        <f>IFERROR(IF(J38&gt;=15,"Please email this entire file to your assigned AGC contact. Do not send a printed page or PDF!",""), "")</f>
        <v/>
      </c>
      <c r="B41" s="199"/>
      <c r="C41" s="199"/>
      <c r="D41" s="199"/>
      <c r="E41" s="199"/>
      <c r="F41" s="199"/>
      <c r="G41" s="199"/>
      <c r="H41" s="199"/>
    </row>
    <row r="44" spans="1:19" hidden="1" x14ac:dyDescent="0.25"/>
    <row r="45" spans="1:19" hidden="1" x14ac:dyDescent="0.25">
      <c r="A45" s="60" t="s">
        <v>32</v>
      </c>
      <c r="B45" s="61"/>
      <c r="C45" s="61"/>
      <c r="D45" s="61"/>
      <c r="E45" s="61"/>
    </row>
    <row r="46" spans="1:19" hidden="1" x14ac:dyDescent="0.25">
      <c r="A46" s="60">
        <f>F22+G22+H22</f>
        <v>0</v>
      </c>
      <c r="B46" s="61"/>
      <c r="C46" s="61"/>
      <c r="D46" s="61"/>
      <c r="E46" s="61"/>
    </row>
    <row r="47" spans="1:19" hidden="1" x14ac:dyDescent="0.25">
      <c r="A47" s="62" t="s">
        <v>33</v>
      </c>
      <c r="B47" s="63"/>
      <c r="C47" s="63"/>
      <c r="D47" s="63"/>
    </row>
    <row r="48" spans="1:19" hidden="1" x14ac:dyDescent="0.25">
      <c r="A48" s="63">
        <f>'Safety Data'!E5</f>
        <v>0</v>
      </c>
      <c r="B48" s="63" t="s">
        <v>34</v>
      </c>
      <c r="C48" s="63"/>
      <c r="D48" s="63"/>
    </row>
    <row r="49" spans="1:7" hidden="1" x14ac:dyDescent="0.25">
      <c r="A49" s="64" t="s">
        <v>35</v>
      </c>
      <c r="B49" s="65"/>
    </row>
    <row r="50" spans="1:7" hidden="1" x14ac:dyDescent="0.25">
      <c r="A50" s="66">
        <f>((('Safety Data'!F16)+('Safety Data'!G16)+('Safety Data'!H16))/3)</f>
        <v>0</v>
      </c>
      <c r="B50" s="65">
        <v>0.4</v>
      </c>
    </row>
    <row r="51" spans="1:7" hidden="1" x14ac:dyDescent="0.25">
      <c r="A51" s="67" t="s">
        <v>36</v>
      </c>
      <c r="B51" s="68"/>
      <c r="C51" s="68"/>
      <c r="D51" s="68"/>
      <c r="E51" s="68"/>
      <c r="F51" s="68"/>
      <c r="G51" s="68"/>
    </row>
    <row r="52" spans="1:7" hidden="1" x14ac:dyDescent="0.25">
      <c r="A52" s="68" t="s">
        <v>37</v>
      </c>
      <c r="B52" s="68"/>
      <c r="C52" s="68"/>
      <c r="D52" s="68"/>
      <c r="E52" s="68"/>
      <c r="F52" s="68"/>
      <c r="G52" s="68" t="s">
        <v>22</v>
      </c>
    </row>
    <row r="53" spans="1:7" hidden="1" x14ac:dyDescent="0.25">
      <c r="A53" s="69" t="e">
        <f>((F30+G30+H30)/3)</f>
        <v>#VALUE!</v>
      </c>
      <c r="B53" s="68">
        <f>INDEX('Oregon Data'!$E$6:$E$41,MATCH('Safety Data'!$D$12,'Oregon Data'!C6:C41, 0))</f>
        <v>0</v>
      </c>
      <c r="C53" s="68" t="s">
        <v>38</v>
      </c>
      <c r="D53" s="68"/>
      <c r="E53" s="68"/>
      <c r="F53" s="68"/>
      <c r="G53" s="70" t="e">
        <f>A53-B53</f>
        <v>#VALUE!</v>
      </c>
    </row>
    <row r="54" spans="1:7" hidden="1" x14ac:dyDescent="0.25">
      <c r="A54" s="71" t="s">
        <v>39</v>
      </c>
      <c r="B54" s="72"/>
      <c r="C54" s="72"/>
      <c r="D54" s="72"/>
      <c r="E54" s="72"/>
      <c r="F54" s="72"/>
      <c r="G54" s="73"/>
    </row>
    <row r="55" spans="1:7" hidden="1" x14ac:dyDescent="0.25">
      <c r="A55" s="72" t="s">
        <v>37</v>
      </c>
      <c r="B55" s="72"/>
      <c r="C55" s="72"/>
      <c r="D55" s="72"/>
      <c r="E55" s="72"/>
      <c r="F55" s="72"/>
      <c r="G55" s="72" t="s">
        <v>22</v>
      </c>
    </row>
    <row r="56" spans="1:7" hidden="1" x14ac:dyDescent="0.25">
      <c r="A56" s="74" t="e">
        <f>((F34+G34+H34)/3)</f>
        <v>#VALUE!</v>
      </c>
      <c r="B56" s="72">
        <f>INDEX('Oregon Data'!$D$6:$D$41,MATCH('Safety Data'!$D$12,'Oregon Data'!C6:C41, 0))</f>
        <v>0</v>
      </c>
      <c r="C56" s="72" t="s">
        <v>38</v>
      </c>
      <c r="D56" s="72"/>
      <c r="E56" s="72"/>
      <c r="F56" s="72"/>
      <c r="G56" s="73" t="e">
        <f>A56-B56</f>
        <v>#VALUE!</v>
      </c>
    </row>
    <row r="57" spans="1:7" hidden="1" x14ac:dyDescent="0.25">
      <c r="A57" s="75"/>
      <c r="G57" s="76"/>
    </row>
    <row r="58" spans="1:7" hidden="1" x14ac:dyDescent="0.25">
      <c r="A58" s="77" t="s">
        <v>40</v>
      </c>
      <c r="B58" s="78"/>
      <c r="C58" s="78"/>
      <c r="D58" s="79">
        <f>(F22+G22+H22+H36)*10</f>
        <v>0</v>
      </c>
      <c r="E58" s="78"/>
      <c r="F58" s="78"/>
      <c r="G58" s="80"/>
    </row>
    <row r="59" spans="1:7" hidden="1" x14ac:dyDescent="0.25">
      <c r="A59" s="81" t="s">
        <v>36</v>
      </c>
      <c r="B59" s="82" t="s">
        <v>39</v>
      </c>
      <c r="C59" s="83" t="e">
        <f>A60-B53</f>
        <v>#VALUE!</v>
      </c>
      <c r="D59" s="79" t="e">
        <f>SIGN(C59)</f>
        <v>#VALUE!</v>
      </c>
      <c r="E59" s="79"/>
      <c r="F59" s="78"/>
      <c r="G59" s="80"/>
    </row>
    <row r="60" spans="1:7" hidden="1" x14ac:dyDescent="0.25">
      <c r="A60" s="81" t="str">
        <f>IF(I3&lt;&gt;"",IF(I12&lt;&gt;"",IF(F30&lt;&gt;"",IF(G30&lt;&gt;"",((F30+G30+0)/3),""),""),""),"")</f>
        <v/>
      </c>
      <c r="B60" s="82" t="str">
        <f>IF(I3&lt;&gt;"",IF(I12&lt;&gt;"",IF(F34&lt;&gt;"",IF(G34&lt;&gt;"",((F34+G34+0)/3),""),""),""),"")</f>
        <v/>
      </c>
      <c r="C60" s="79" t="e">
        <f>B60-B56</f>
        <v>#VALUE!</v>
      </c>
      <c r="D60" s="79" t="e">
        <f>SIGN(C60)</f>
        <v>#VALUE!</v>
      </c>
      <c r="E60" s="79" t="e">
        <f>D58+D59+D60</f>
        <v>#VALUE!</v>
      </c>
      <c r="F60" s="78"/>
      <c r="G60" s="80"/>
    </row>
    <row r="61" spans="1:7" hidden="1" x14ac:dyDescent="0.25">
      <c r="A61" s="84"/>
      <c r="B61" s="85"/>
      <c r="C61" s="86"/>
      <c r="D61" s="86"/>
      <c r="E61" s="86"/>
      <c r="G61" s="76"/>
    </row>
    <row r="62" spans="1:7" hidden="1" x14ac:dyDescent="0.25">
      <c r="A62" s="77" t="s">
        <v>41</v>
      </c>
      <c r="B62" s="78"/>
      <c r="C62" s="78"/>
      <c r="D62" s="79">
        <f>(F22+G22+H22+H36)*10</f>
        <v>0</v>
      </c>
      <c r="E62" s="78"/>
      <c r="F62" s="78"/>
      <c r="G62" s="80"/>
    </row>
    <row r="63" spans="1:7" hidden="1" x14ac:dyDescent="0.25">
      <c r="A63" s="81" t="s">
        <v>36</v>
      </c>
      <c r="B63" s="82" t="s">
        <v>39</v>
      </c>
      <c r="C63" s="83" t="e">
        <f>A64-B53</f>
        <v>#VALUE!</v>
      </c>
      <c r="D63" s="79" t="e">
        <f>SIGN(C63)</f>
        <v>#VALUE!</v>
      </c>
      <c r="E63" s="79"/>
      <c r="F63" s="78"/>
      <c r="G63" s="80"/>
    </row>
    <row r="64" spans="1:7" hidden="1" x14ac:dyDescent="0.25">
      <c r="A64" s="81" t="str">
        <f>IF(F30&lt;&gt;"",IF(G30&lt;&gt;"",((F30+G30+(F30+G30)/2)/3),""),"")</f>
        <v/>
      </c>
      <c r="B64" s="82" t="str">
        <f>IF(F34&lt;&gt;"",IF(G34&lt;&gt;"",((F34+G34+((F34+G34)/2))/3),""),"")</f>
        <v/>
      </c>
      <c r="C64" s="79" t="e">
        <f>B64-B56</f>
        <v>#VALUE!</v>
      </c>
      <c r="D64" s="79" t="e">
        <f>SIGN(C64)</f>
        <v>#VALUE!</v>
      </c>
      <c r="E64" s="79" t="e">
        <f>D62+D63+D64</f>
        <v>#VALUE!</v>
      </c>
      <c r="F64" s="78"/>
      <c r="G64" s="80"/>
    </row>
    <row r="65" spans="1:9" hidden="1" x14ac:dyDescent="0.25">
      <c r="A65" s="81"/>
      <c r="B65" s="82"/>
      <c r="C65" s="79"/>
      <c r="D65" s="79"/>
      <c r="E65" s="79"/>
      <c r="F65" s="78"/>
      <c r="G65" s="80"/>
    </row>
    <row r="66" spans="1:9" hidden="1" x14ac:dyDescent="0.25"/>
    <row r="67" spans="1:9" hidden="1" x14ac:dyDescent="0.25">
      <c r="A67" t="s">
        <v>42</v>
      </c>
      <c r="E67" s="87" t="s">
        <v>43</v>
      </c>
    </row>
    <row r="68" spans="1:9" hidden="1" x14ac:dyDescent="0.25">
      <c r="A68" t="s">
        <v>44</v>
      </c>
      <c r="E68" s="87" t="s">
        <v>45</v>
      </c>
    </row>
    <row r="69" spans="1:9" hidden="1" x14ac:dyDescent="0.25">
      <c r="E69" s="87"/>
    </row>
    <row r="72" spans="1:9" ht="12.95" customHeight="1" x14ac:dyDescent="0.25">
      <c r="B72" s="88"/>
      <c r="C72" s="88"/>
      <c r="D72" s="88"/>
      <c r="E72" s="88"/>
      <c r="F72" s="88"/>
      <c r="G72" s="88"/>
      <c r="H72" s="88"/>
      <c r="I72" s="88"/>
    </row>
    <row r="73" spans="1:9" x14ac:dyDescent="0.25">
      <c r="B73" s="88"/>
      <c r="C73" s="88"/>
      <c r="D73" s="88"/>
      <c r="E73" s="88"/>
      <c r="F73" s="88"/>
      <c r="G73" s="88"/>
      <c r="H73" s="88"/>
      <c r="I73" s="88"/>
    </row>
    <row r="74" spans="1:9" ht="8.25" customHeight="1" x14ac:dyDescent="0.25"/>
  </sheetData>
  <sheetProtection algorithmName="SHA-512" hashValue="1ifwDW2fM+guHEuf63kajJLCp5QiGP/vlj9njQspw3W3z4QJURAiKPowVtzs5wyUsiGdPuNJ5/LnLpST4IRATw==" saltValue="b2L6ttiwly+FtZM/Ibmpbg==" spinCount="100000" sheet="1" objects="1" scenarios="1"/>
  <mergeCells count="101">
    <mergeCell ref="A41:H41"/>
    <mergeCell ref="J26:J27"/>
    <mergeCell ref="J28:J29"/>
    <mergeCell ref="J32:J33"/>
    <mergeCell ref="J36:J37"/>
    <mergeCell ref="J12:J13"/>
    <mergeCell ref="J5:J7"/>
    <mergeCell ref="J20:J21"/>
    <mergeCell ref="J22:J23"/>
    <mergeCell ref="J24:J25"/>
    <mergeCell ref="I12:I13"/>
    <mergeCell ref="G5:G7"/>
    <mergeCell ref="H5:H7"/>
    <mergeCell ref="I22:I23"/>
    <mergeCell ref="I24:I25"/>
    <mergeCell ref="I26:I27"/>
    <mergeCell ref="H34:H35"/>
    <mergeCell ref="H30:H31"/>
    <mergeCell ref="H24:H25"/>
    <mergeCell ref="A30:E31"/>
    <mergeCell ref="A32:E33"/>
    <mergeCell ref="F32:F33"/>
    <mergeCell ref="G32:G33"/>
    <mergeCell ref="G26:G27"/>
    <mergeCell ref="K20:M22"/>
    <mergeCell ref="K26:M26"/>
    <mergeCell ref="K30:M30"/>
    <mergeCell ref="K35:M35"/>
    <mergeCell ref="K28:K29"/>
    <mergeCell ref="L28:L29"/>
    <mergeCell ref="M28:M29"/>
    <mergeCell ref="K32:K33"/>
    <mergeCell ref="L32:L33"/>
    <mergeCell ref="M32:M33"/>
    <mergeCell ref="K34:L34"/>
    <mergeCell ref="F36:F37"/>
    <mergeCell ref="G36:G37"/>
    <mergeCell ref="H36:H37"/>
    <mergeCell ref="I36:I37"/>
    <mergeCell ref="H32:H33"/>
    <mergeCell ref="A34:E35"/>
    <mergeCell ref="F34:F35"/>
    <mergeCell ref="G34:G35"/>
    <mergeCell ref="K23:M25"/>
    <mergeCell ref="I20:I21"/>
    <mergeCell ref="I18:I19"/>
    <mergeCell ref="H18:H19"/>
    <mergeCell ref="H20:H21"/>
    <mergeCell ref="G18:G19"/>
    <mergeCell ref="A16:E16"/>
    <mergeCell ref="A17:E17"/>
    <mergeCell ref="F18:F19"/>
    <mergeCell ref="S36:S37"/>
    <mergeCell ref="A28:E29"/>
    <mergeCell ref="F28:F29"/>
    <mergeCell ref="G28:G29"/>
    <mergeCell ref="H28:H29"/>
    <mergeCell ref="I28:I29"/>
    <mergeCell ref="K36:L36"/>
    <mergeCell ref="K37:M37"/>
    <mergeCell ref="Q30:Q31"/>
    <mergeCell ref="Q34:Q35"/>
    <mergeCell ref="J30:J31"/>
    <mergeCell ref="J34:J35"/>
    <mergeCell ref="I32:I33"/>
    <mergeCell ref="I30:I31"/>
    <mergeCell ref="I34:I35"/>
    <mergeCell ref="A36:E37"/>
    <mergeCell ref="F10:H10"/>
    <mergeCell ref="A3:C3"/>
    <mergeCell ref="I5:I7"/>
    <mergeCell ref="D3:H3"/>
    <mergeCell ref="F5:F7"/>
    <mergeCell ref="A11:C13"/>
    <mergeCell ref="D12:H13"/>
    <mergeCell ref="A9:E9"/>
    <mergeCell ref="F9:H9"/>
    <mergeCell ref="A39:H40"/>
    <mergeCell ref="H26:H27"/>
    <mergeCell ref="G20:G21"/>
    <mergeCell ref="G22:G23"/>
    <mergeCell ref="H22:H23"/>
    <mergeCell ref="F30:F31"/>
    <mergeCell ref="G30:G31"/>
    <mergeCell ref="A1:B1"/>
    <mergeCell ref="A15:E15"/>
    <mergeCell ref="A4:D4"/>
    <mergeCell ref="A5:D7"/>
    <mergeCell ref="E5:E7"/>
    <mergeCell ref="F24:F25"/>
    <mergeCell ref="F26:F27"/>
    <mergeCell ref="F20:F21"/>
    <mergeCell ref="F22:F23"/>
    <mergeCell ref="G24:G25"/>
    <mergeCell ref="A18:E19"/>
    <mergeCell ref="A20:E21"/>
    <mergeCell ref="A22:E23"/>
    <mergeCell ref="A24:E25"/>
    <mergeCell ref="A26:E27"/>
    <mergeCell ref="A2:H2"/>
    <mergeCell ref="A10:E10"/>
  </mergeCells>
  <hyperlinks>
    <hyperlink ref="E67" r:id="rId1" xr:uid="{B7BDD299-9910-41FC-A5FE-023FEB13C08E}"/>
    <hyperlink ref="E68" r:id="rId2" xr:uid="{9A73E4E8-5D73-4DDC-999A-DC2F473B1D9B}"/>
  </hyperlinks>
  <pageMargins left="0.9" right="0" top="0.5" bottom="0.25" header="0" footer="0"/>
  <pageSetup orientation="portrait" r:id="rId3"/>
  <ignoredErrors>
    <ignoredError sqref="I3 H32" unlockedFormula="1"/>
  </ignoredErrors>
  <drawing r:id="rId4"/>
  <extLst>
    <ext xmlns:x14="http://schemas.microsoft.com/office/spreadsheetml/2009/9/main" uri="{CCE6A557-97BC-4b89-ADB6-D9C93CAAB3DF}">
      <x14:dataValidations xmlns:xm="http://schemas.microsoft.com/office/excel/2006/main" count="1">
        <x14:dataValidation type="list" showInputMessage="1" showErrorMessage="1" xr:uid="{6ADE43AF-578F-4D79-AFC4-DCC1DC348EBB}">
          <x14:formula1>
            <xm:f>'Oregon Data'!$C$6:$C$22</xm:f>
          </x14:formula1>
          <xm:sqref>D12:H13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481E-F9DA-4C81-BD93-F9DDD3030B67}">
  <dimension ref="A2:I6"/>
  <sheetViews>
    <sheetView workbookViewId="0">
      <selection activeCell="I11" sqref="I11"/>
    </sheetView>
  </sheetViews>
  <sheetFormatPr defaultRowHeight="15" x14ac:dyDescent="0.25"/>
  <cols>
    <col min="6" max="6" width="9.42578125" customWidth="1"/>
    <col min="7" max="7" width="11.85546875" customWidth="1"/>
    <col min="8" max="8" width="14.42578125" customWidth="1"/>
    <col min="9" max="9" width="15.42578125" customWidth="1"/>
  </cols>
  <sheetData>
    <row r="2" spans="1:9" x14ac:dyDescent="0.25">
      <c r="A2" s="2" t="s">
        <v>46</v>
      </c>
    </row>
    <row r="3" spans="1:9" x14ac:dyDescent="0.25">
      <c r="A3" s="206" t="s">
        <v>47</v>
      </c>
      <c r="B3" s="207"/>
      <c r="C3" s="207"/>
      <c r="D3" s="207"/>
      <c r="E3" s="207"/>
      <c r="F3" s="10">
        <f>INDEX('Oregon Data'!$A$6:$A$41,MATCH('Safety Data'!$D$12,'Oregon Data'!C6:C41, 0))</f>
        <v>0</v>
      </c>
      <c r="G3" s="8" t="s">
        <v>48</v>
      </c>
      <c r="H3" s="8" t="s">
        <v>49</v>
      </c>
      <c r="I3" s="8" t="s">
        <v>22</v>
      </c>
    </row>
    <row r="4" spans="1:9" x14ac:dyDescent="0.25">
      <c r="A4" s="208" t="s">
        <v>50</v>
      </c>
      <c r="B4" s="209"/>
      <c r="C4" s="209"/>
      <c r="D4" s="209"/>
      <c r="E4" s="209"/>
      <c r="F4" s="210"/>
      <c r="G4" s="8">
        <f>'Safety Data'!B53</f>
        <v>0</v>
      </c>
      <c r="H4" s="9" t="e">
        <f>'Safety Data'!A53</f>
        <v>#VALUE!</v>
      </c>
      <c r="I4" s="9" t="e">
        <f>H4-G4</f>
        <v>#VALUE!</v>
      </c>
    </row>
    <row r="5" spans="1:9" x14ac:dyDescent="0.25">
      <c r="A5" s="208" t="s">
        <v>51</v>
      </c>
      <c r="B5" s="209"/>
      <c r="C5" s="209"/>
      <c r="D5" s="209"/>
      <c r="E5" s="209"/>
      <c r="F5" s="210"/>
      <c r="G5" s="8">
        <f>'Safety Data'!B56</f>
        <v>0</v>
      </c>
      <c r="H5" s="9" t="e">
        <f>'Safety Data'!A56</f>
        <v>#VALUE!</v>
      </c>
      <c r="I5" s="9" t="e">
        <f>H5-G5</f>
        <v>#VALUE!</v>
      </c>
    </row>
    <row r="6" spans="1:9" x14ac:dyDescent="0.25">
      <c r="A6" s="204" t="s">
        <v>52</v>
      </c>
      <c r="B6" s="204"/>
      <c r="C6" s="204"/>
      <c r="D6" s="204"/>
      <c r="E6" s="204"/>
      <c r="F6" s="204"/>
      <c r="G6" s="205"/>
      <c r="H6" s="12"/>
      <c r="I6" s="11">
        <f>SUM('Safety Data'!F24:H29)-SUM('Safety Data'!F32:H33)</f>
        <v>0</v>
      </c>
    </row>
  </sheetData>
  <mergeCells count="4">
    <mergeCell ref="A6:G6"/>
    <mergeCell ref="A3:E3"/>
    <mergeCell ref="A4:F4"/>
    <mergeCell ref="A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91D2-782E-4E74-9956-18485B1A9B71}">
  <dimension ref="A1:O22"/>
  <sheetViews>
    <sheetView topLeftCell="C1" workbookViewId="0">
      <pane ySplit="5" topLeftCell="A6" activePane="bottomLeft" state="frozen"/>
      <selection activeCell="I11" sqref="I11"/>
      <selection pane="bottomLeft" activeCell="B24" sqref="B24"/>
    </sheetView>
  </sheetViews>
  <sheetFormatPr defaultRowHeight="15" x14ac:dyDescent="0.25"/>
  <cols>
    <col min="1" max="1" width="11.5703125" customWidth="1"/>
    <col min="2" max="2" width="52.7109375" bestFit="1" customWidth="1"/>
    <col min="3" max="3" width="50.5703125" bestFit="1" customWidth="1"/>
    <col min="7" max="7" width="9.5703125" bestFit="1" customWidth="1"/>
    <col min="9" max="9" width="8.28515625" customWidth="1"/>
    <col min="12" max="12" width="10.85546875" customWidth="1"/>
  </cols>
  <sheetData>
    <row r="1" spans="1:15" ht="33.950000000000003" customHeight="1" x14ac:dyDescent="0.25">
      <c r="A1" s="211" t="s">
        <v>53</v>
      </c>
      <c r="B1" s="211"/>
      <c r="C1" s="211"/>
      <c r="D1" s="211"/>
      <c r="E1" s="223" t="s">
        <v>54</v>
      </c>
      <c r="F1" s="223"/>
      <c r="G1" s="223"/>
      <c r="H1" s="223"/>
      <c r="I1" s="223"/>
    </row>
    <row r="2" spans="1:15" x14ac:dyDescent="0.25">
      <c r="A2" s="222"/>
      <c r="B2" s="222"/>
      <c r="C2" s="1"/>
      <c r="D2" s="89" t="s">
        <v>55</v>
      </c>
    </row>
    <row r="3" spans="1:15" x14ac:dyDescent="0.25">
      <c r="A3" s="222"/>
      <c r="B3" s="222"/>
      <c r="C3" s="1"/>
      <c r="D3" s="90" t="s">
        <v>56</v>
      </c>
    </row>
    <row r="4" spans="1:15" x14ac:dyDescent="0.25">
      <c r="A4" s="1"/>
      <c r="B4" s="1"/>
      <c r="C4" s="1"/>
      <c r="D4" s="221" t="s">
        <v>57</v>
      </c>
      <c r="E4" s="221"/>
      <c r="F4" s="221"/>
      <c r="G4" s="218" t="s">
        <v>58</v>
      </c>
      <c r="H4" s="219"/>
      <c r="I4" s="220"/>
      <c r="J4" s="215" t="s">
        <v>59</v>
      </c>
      <c r="K4" s="216"/>
      <c r="L4" s="217"/>
      <c r="M4" s="212" t="s">
        <v>60</v>
      </c>
      <c r="N4" s="213"/>
      <c r="O4" s="214"/>
    </row>
    <row r="5" spans="1:15" x14ac:dyDescent="0.25">
      <c r="A5" s="2" t="s">
        <v>61</v>
      </c>
      <c r="B5" s="2" t="s">
        <v>62</v>
      </c>
      <c r="C5" s="2" t="s">
        <v>63</v>
      </c>
      <c r="D5" s="23" t="s">
        <v>39</v>
      </c>
      <c r="E5" s="23" t="s">
        <v>36</v>
      </c>
      <c r="F5" s="23" t="s">
        <v>64</v>
      </c>
      <c r="G5" s="25" t="s">
        <v>39</v>
      </c>
      <c r="H5" s="25" t="s">
        <v>36</v>
      </c>
      <c r="I5" s="25" t="s">
        <v>64</v>
      </c>
      <c r="J5" s="27" t="s">
        <v>39</v>
      </c>
      <c r="K5" s="27" t="s">
        <v>36</v>
      </c>
      <c r="L5" s="27" t="s">
        <v>64</v>
      </c>
      <c r="M5" s="29" t="s">
        <v>39</v>
      </c>
      <c r="N5" s="29" t="s">
        <v>36</v>
      </c>
      <c r="O5" s="29" t="s">
        <v>64</v>
      </c>
    </row>
    <row r="6" spans="1:15" x14ac:dyDescent="0.25">
      <c r="A6">
        <v>0</v>
      </c>
      <c r="B6" t="s">
        <v>9</v>
      </c>
      <c r="C6" t="s">
        <v>9</v>
      </c>
      <c r="D6" s="24"/>
      <c r="E6" s="24"/>
      <c r="F6" s="24"/>
      <c r="G6" s="26"/>
      <c r="H6" s="26"/>
      <c r="I6" s="26"/>
      <c r="J6" s="28"/>
      <c r="K6" s="28"/>
      <c r="L6" s="28"/>
      <c r="M6" s="30"/>
      <c r="N6" s="30"/>
      <c r="O6" s="30"/>
    </row>
    <row r="7" spans="1:15" x14ac:dyDescent="0.25">
      <c r="A7">
        <v>236000</v>
      </c>
      <c r="B7" t="s">
        <v>65</v>
      </c>
      <c r="C7" t="str">
        <f t="shared" ref="C7:C18" si="0">_xlfn.CONCAT(A7, " ", B7)</f>
        <v>236000 Construction of Buildings</v>
      </c>
      <c r="D7" s="24">
        <f>SUM(G7,J7,M7)/3</f>
        <v>4.3666666666666663</v>
      </c>
      <c r="E7" s="24">
        <f>SUM(H7,K7,N7)/3</f>
        <v>2.2666666666666666</v>
      </c>
      <c r="F7" s="24"/>
      <c r="G7" s="49">
        <v>5</v>
      </c>
      <c r="H7" s="26">
        <v>2.5</v>
      </c>
      <c r="I7" s="26" t="s">
        <v>66</v>
      </c>
      <c r="J7" s="51">
        <v>5</v>
      </c>
      <c r="K7" s="28">
        <v>2.5</v>
      </c>
      <c r="L7" s="28"/>
      <c r="M7" s="30">
        <v>3.1</v>
      </c>
      <c r="N7" s="30">
        <v>1.8</v>
      </c>
      <c r="O7" s="30"/>
    </row>
    <row r="8" spans="1:15" x14ac:dyDescent="0.25">
      <c r="A8">
        <v>236100</v>
      </c>
      <c r="B8" t="s">
        <v>67</v>
      </c>
      <c r="C8" t="str">
        <f t="shared" si="0"/>
        <v>236100 Residential building construction</v>
      </c>
      <c r="D8" s="24">
        <f t="shared" ref="D8:D22" si="1">SUM(G8,J8,M8)/3</f>
        <v>4.5333333333333341</v>
      </c>
      <c r="E8" s="24">
        <f t="shared" ref="E8:E22" si="2">SUM(H8,K8,N8)/3</f>
        <v>2.6</v>
      </c>
      <c r="F8" s="24"/>
      <c r="G8" s="26">
        <v>4.0999999999999996</v>
      </c>
      <c r="H8" s="26">
        <v>2.6</v>
      </c>
      <c r="I8" s="26"/>
      <c r="J8" s="28">
        <v>7.2</v>
      </c>
      <c r="K8" s="28">
        <v>3.4</v>
      </c>
      <c r="L8" s="28"/>
      <c r="M8" s="30">
        <v>2.2999999999999998</v>
      </c>
      <c r="N8" s="30">
        <v>1.8</v>
      </c>
      <c r="O8" s="30"/>
    </row>
    <row r="9" spans="1:15" x14ac:dyDescent="0.25">
      <c r="A9">
        <v>236200</v>
      </c>
      <c r="B9" t="s">
        <v>68</v>
      </c>
      <c r="C9" t="str">
        <f t="shared" si="0"/>
        <v>236200 Nonresidential building construction</v>
      </c>
      <c r="D9" s="24">
        <f t="shared" si="1"/>
        <v>2.6</v>
      </c>
      <c r="E9" s="24">
        <f t="shared" si="2"/>
        <v>1.4666666666666668</v>
      </c>
      <c r="F9" s="24"/>
      <c r="G9" s="26">
        <v>1.8</v>
      </c>
      <c r="H9" s="26">
        <v>1.2</v>
      </c>
      <c r="I9" s="26" t="s">
        <v>66</v>
      </c>
      <c r="J9" s="28">
        <v>1.8</v>
      </c>
      <c r="K9" s="28">
        <v>1.2</v>
      </c>
      <c r="L9" s="28"/>
      <c r="M9" s="30">
        <v>4.2</v>
      </c>
      <c r="N9" s="50">
        <v>2</v>
      </c>
      <c r="O9" s="30"/>
    </row>
    <row r="10" spans="1:15" x14ac:dyDescent="0.25">
      <c r="A10">
        <v>237000</v>
      </c>
      <c r="B10" t="s">
        <v>69</v>
      </c>
      <c r="C10" t="str">
        <f t="shared" si="0"/>
        <v>237000 Heavy and civil construction</v>
      </c>
      <c r="D10" s="24">
        <f t="shared" si="1"/>
        <v>3.3000000000000003</v>
      </c>
      <c r="E10" s="24">
        <f t="shared" si="2"/>
        <v>1.9000000000000001</v>
      </c>
      <c r="F10" s="24"/>
      <c r="G10" s="49">
        <v>2.7</v>
      </c>
      <c r="H10" s="26">
        <v>2.1</v>
      </c>
      <c r="I10" s="26"/>
      <c r="J10" s="51">
        <v>4</v>
      </c>
      <c r="K10" s="28">
        <v>1.6</v>
      </c>
      <c r="L10" s="28"/>
      <c r="M10" s="30">
        <v>3.2</v>
      </c>
      <c r="N10" s="50">
        <v>2</v>
      </c>
      <c r="O10" s="30"/>
    </row>
    <row r="11" spans="1:15" x14ac:dyDescent="0.25">
      <c r="A11">
        <v>237100</v>
      </c>
      <c r="B11" t="s">
        <v>70</v>
      </c>
      <c r="C11" t="str">
        <f t="shared" si="0"/>
        <v>237100 Utility system construction</v>
      </c>
      <c r="D11" s="24">
        <f t="shared" si="1"/>
        <v>3.8666666666666667</v>
      </c>
      <c r="E11" s="24">
        <f t="shared" si="2"/>
        <v>2.6</v>
      </c>
      <c r="F11" s="24"/>
      <c r="G11" s="26">
        <v>3.1</v>
      </c>
      <c r="H11" s="26">
        <v>3</v>
      </c>
      <c r="I11" s="26"/>
      <c r="J11" s="28">
        <v>4.5999999999999996</v>
      </c>
      <c r="K11" s="28">
        <v>1.9</v>
      </c>
      <c r="L11" s="28"/>
      <c r="M11" s="30">
        <v>3.9</v>
      </c>
      <c r="N11" s="30">
        <v>2.9</v>
      </c>
      <c r="O11" s="30" t="s">
        <v>71</v>
      </c>
    </row>
    <row r="12" spans="1:15" x14ac:dyDescent="0.25">
      <c r="A12">
        <v>237300</v>
      </c>
      <c r="B12" t="s">
        <v>72</v>
      </c>
      <c r="C12" t="str">
        <f t="shared" si="0"/>
        <v>237300 Highway, street, and bridge construction</v>
      </c>
      <c r="D12" s="24">
        <f t="shared" si="1"/>
        <v>3.1</v>
      </c>
      <c r="E12" s="24">
        <f t="shared" si="2"/>
        <v>1.6333333333333335</v>
      </c>
      <c r="F12" s="24"/>
      <c r="G12" s="49">
        <v>2.9</v>
      </c>
      <c r="H12" s="26">
        <v>1.7</v>
      </c>
      <c r="I12" s="26"/>
      <c r="J12" s="51">
        <v>4</v>
      </c>
      <c r="K12" s="28">
        <v>1.5</v>
      </c>
      <c r="L12" s="28"/>
      <c r="M12" s="30">
        <v>2.4</v>
      </c>
      <c r="N12" s="30">
        <v>1.7</v>
      </c>
      <c r="O12" s="30"/>
    </row>
    <row r="13" spans="1:15" x14ac:dyDescent="0.25">
      <c r="A13">
        <v>238000</v>
      </c>
      <c r="B13" t="s">
        <v>73</v>
      </c>
      <c r="C13" t="str">
        <f t="shared" si="0"/>
        <v>238000 Specialty trade contractors</v>
      </c>
      <c r="D13" s="24">
        <f t="shared" si="1"/>
        <v>4.333333333333333</v>
      </c>
      <c r="E13" s="24">
        <f t="shared" si="2"/>
        <v>2.6</v>
      </c>
      <c r="F13" s="24"/>
      <c r="G13" s="26">
        <v>3.8</v>
      </c>
      <c r="H13" s="49">
        <v>2.2000000000000002</v>
      </c>
      <c r="I13" s="26"/>
      <c r="J13" s="28">
        <v>5.2</v>
      </c>
      <c r="K13" s="51">
        <v>3</v>
      </c>
      <c r="L13" s="28"/>
      <c r="M13" s="50">
        <v>4</v>
      </c>
      <c r="N13" s="30">
        <v>2.6</v>
      </c>
      <c r="O13" s="30"/>
    </row>
    <row r="14" spans="1:15" x14ac:dyDescent="0.25">
      <c r="A14">
        <v>238100</v>
      </c>
      <c r="B14" t="s">
        <v>74</v>
      </c>
      <c r="C14" t="str">
        <f t="shared" si="0"/>
        <v>238100 Foundation, structure, and building exterior contractors</v>
      </c>
      <c r="D14" s="24">
        <f t="shared" si="1"/>
        <v>6.7333333333333334</v>
      </c>
      <c r="E14" s="24">
        <f t="shared" si="2"/>
        <v>4.3666666666666663</v>
      </c>
      <c r="F14" s="24"/>
      <c r="G14" s="26">
        <v>5.7</v>
      </c>
      <c r="H14" s="26">
        <v>3.6</v>
      </c>
      <c r="I14" s="26"/>
      <c r="J14" s="28">
        <v>6.5</v>
      </c>
      <c r="K14" s="28">
        <v>3.9</v>
      </c>
      <c r="L14" s="28"/>
      <c r="M14" s="50">
        <v>8</v>
      </c>
      <c r="N14" s="30">
        <v>5.6</v>
      </c>
      <c r="O14" s="30"/>
    </row>
    <row r="15" spans="1:15" x14ac:dyDescent="0.25">
      <c r="A15">
        <v>238110</v>
      </c>
      <c r="B15" t="s">
        <v>75</v>
      </c>
      <c r="C15" t="str">
        <f t="shared" si="0"/>
        <v>238110 Poured concrete, foundation, and structure contractors</v>
      </c>
      <c r="D15" s="24">
        <f t="shared" si="1"/>
        <v>6.5</v>
      </c>
      <c r="E15" s="24">
        <f t="shared" si="2"/>
        <v>2.1999999999999997</v>
      </c>
      <c r="F15" s="24"/>
      <c r="G15" s="26">
        <v>8.6999999999999993</v>
      </c>
      <c r="H15" s="26">
        <v>3</v>
      </c>
      <c r="I15" s="26"/>
      <c r="J15" s="28">
        <v>5.4</v>
      </c>
      <c r="K15" s="28">
        <v>1.8</v>
      </c>
      <c r="L15" s="28" t="s">
        <v>76</v>
      </c>
      <c r="M15" s="30">
        <v>5.4</v>
      </c>
      <c r="N15" s="30">
        <v>1.8</v>
      </c>
      <c r="O15" s="30" t="s">
        <v>76</v>
      </c>
    </row>
    <row r="16" spans="1:15" x14ac:dyDescent="0.25">
      <c r="A16">
        <v>238160</v>
      </c>
      <c r="B16" t="s">
        <v>77</v>
      </c>
      <c r="C16" t="str">
        <f t="shared" si="0"/>
        <v>238160 Roofing contractor</v>
      </c>
      <c r="D16" s="24">
        <f t="shared" si="1"/>
        <v>9.0333333333333332</v>
      </c>
      <c r="E16" s="24">
        <f t="shared" si="2"/>
        <v>6.0333333333333323</v>
      </c>
      <c r="F16" s="24"/>
      <c r="G16" s="26">
        <v>7.1</v>
      </c>
      <c r="H16" s="26">
        <v>5.3</v>
      </c>
      <c r="I16" s="26"/>
      <c r="J16" s="28">
        <v>11.8</v>
      </c>
      <c r="K16" s="28">
        <v>7.1</v>
      </c>
      <c r="L16" s="28"/>
      <c r="M16" s="30">
        <v>8.1999999999999993</v>
      </c>
      <c r="N16" s="30">
        <v>5.7</v>
      </c>
      <c r="O16" s="30"/>
    </row>
    <row r="17" spans="1:15" x14ac:dyDescent="0.25">
      <c r="A17">
        <v>238200</v>
      </c>
      <c r="B17" t="s">
        <v>78</v>
      </c>
      <c r="C17" t="str">
        <f t="shared" si="0"/>
        <v>238200 Building equipment contractors</v>
      </c>
      <c r="D17" s="24">
        <f t="shared" si="1"/>
        <v>3.4333333333333331</v>
      </c>
      <c r="E17" s="24">
        <f t="shared" si="2"/>
        <v>1.8333333333333333</v>
      </c>
      <c r="F17" s="24"/>
      <c r="G17" s="26">
        <v>3.3</v>
      </c>
      <c r="H17" s="26">
        <v>2</v>
      </c>
      <c r="I17" s="26"/>
      <c r="J17" s="28">
        <v>3.9</v>
      </c>
      <c r="K17" s="28">
        <v>2.2000000000000002</v>
      </c>
      <c r="L17" s="28"/>
      <c r="M17" s="30">
        <v>3.1</v>
      </c>
      <c r="N17" s="30">
        <v>1.3</v>
      </c>
      <c r="O17" s="30"/>
    </row>
    <row r="18" spans="1:15" x14ac:dyDescent="0.25">
      <c r="A18">
        <v>238210</v>
      </c>
      <c r="B18" t="s">
        <v>79</v>
      </c>
      <c r="C18" t="str">
        <f t="shared" si="0"/>
        <v>238210 Electrical contractors and other wiring installation contractors</v>
      </c>
      <c r="D18" s="24">
        <f t="shared" si="1"/>
        <v>2.9333333333333336</v>
      </c>
      <c r="E18" s="24">
        <f t="shared" si="2"/>
        <v>1.5666666666666667</v>
      </c>
      <c r="F18" s="24"/>
      <c r="G18" s="49">
        <v>3.1</v>
      </c>
      <c r="H18" s="26">
        <v>2.6</v>
      </c>
      <c r="I18" s="26"/>
      <c r="J18" s="51">
        <v>3</v>
      </c>
      <c r="K18" s="28">
        <v>1.1000000000000001</v>
      </c>
      <c r="L18" s="28"/>
      <c r="M18" s="30">
        <v>2.7</v>
      </c>
      <c r="N18" s="50">
        <v>1</v>
      </c>
      <c r="O18" s="30"/>
    </row>
    <row r="19" spans="1:15" x14ac:dyDescent="0.25">
      <c r="A19">
        <v>238220</v>
      </c>
      <c r="B19" t="s">
        <v>80</v>
      </c>
      <c r="C19" t="str">
        <f>_xlfn.CONCAT(A19, " ", B19)</f>
        <v>238220 Plumbing, heating, and air-conditioning contractors</v>
      </c>
      <c r="D19" s="24">
        <f t="shared" si="1"/>
        <v>4.3666666666666663</v>
      </c>
      <c r="E19" s="24">
        <f t="shared" si="2"/>
        <v>2.2333333333333334</v>
      </c>
      <c r="F19" s="24"/>
      <c r="G19" s="26">
        <v>4</v>
      </c>
      <c r="H19" s="26">
        <v>1.7</v>
      </c>
      <c r="I19" s="26"/>
      <c r="J19" s="28">
        <v>5.0999999999999996</v>
      </c>
      <c r="K19" s="28">
        <v>3.3</v>
      </c>
      <c r="L19" s="28"/>
      <c r="M19" s="50">
        <v>4</v>
      </c>
      <c r="N19" s="30">
        <v>1.7</v>
      </c>
      <c r="O19" s="30"/>
    </row>
    <row r="20" spans="1:15" x14ac:dyDescent="0.25">
      <c r="A20">
        <v>238290</v>
      </c>
      <c r="B20" t="s">
        <v>81</v>
      </c>
      <c r="C20" t="str">
        <f>_xlfn.CONCAT(A20, " ", B20)</f>
        <v>238290 Other building equipment contractors</v>
      </c>
      <c r="D20" s="24">
        <f t="shared" si="1"/>
        <v>1.1000000000000001</v>
      </c>
      <c r="E20" s="24">
        <f t="shared" si="2"/>
        <v>1</v>
      </c>
      <c r="F20" s="24"/>
      <c r="G20" s="26">
        <v>1.1000000000000001</v>
      </c>
      <c r="H20" s="49">
        <v>1</v>
      </c>
      <c r="I20" s="26"/>
      <c r="J20" s="28">
        <v>1.1000000000000001</v>
      </c>
      <c r="K20" s="51">
        <v>1</v>
      </c>
      <c r="L20" s="28" t="s">
        <v>82</v>
      </c>
      <c r="M20" s="30">
        <v>1.1000000000000001</v>
      </c>
      <c r="N20" s="50">
        <v>1</v>
      </c>
      <c r="O20" s="30"/>
    </row>
    <row r="21" spans="1:15" x14ac:dyDescent="0.25">
      <c r="A21">
        <v>238300</v>
      </c>
      <c r="B21" t="s">
        <v>83</v>
      </c>
      <c r="C21" t="str">
        <f t="shared" ref="C21:C22" si="3">_xlfn.CONCAT(A21, " ", B21)</f>
        <v>238300 Building finishing contractors</v>
      </c>
      <c r="D21" s="24">
        <f t="shared" si="1"/>
        <v>3.9</v>
      </c>
      <c r="E21" s="24">
        <f t="shared" si="2"/>
        <v>3.3333333333333335</v>
      </c>
      <c r="F21" s="24"/>
      <c r="G21" s="26">
        <v>2.2999999999999998</v>
      </c>
      <c r="H21" s="26">
        <v>1.7</v>
      </c>
      <c r="I21" s="26"/>
      <c r="J21" s="28">
        <v>5.3</v>
      </c>
      <c r="K21" s="28">
        <v>4.5</v>
      </c>
      <c r="L21" s="28"/>
      <c r="M21" s="30">
        <v>4.0999999999999996</v>
      </c>
      <c r="N21" s="30">
        <v>3.8</v>
      </c>
      <c r="O21" s="30"/>
    </row>
    <row r="22" spans="1:15" x14ac:dyDescent="0.25">
      <c r="A22">
        <v>238310</v>
      </c>
      <c r="B22" t="s">
        <v>84</v>
      </c>
      <c r="C22" t="str">
        <f t="shared" si="3"/>
        <v>238310 Drywall installation and repair contractors</v>
      </c>
      <c r="D22" s="24">
        <f t="shared" si="1"/>
        <v>3.2333333333333329</v>
      </c>
      <c r="E22" s="24">
        <f t="shared" si="2"/>
        <v>2.0333333333333332</v>
      </c>
      <c r="F22" s="24"/>
      <c r="G22" s="26">
        <v>2.8</v>
      </c>
      <c r="H22" s="49">
        <v>1.7</v>
      </c>
      <c r="I22" s="26"/>
      <c r="J22" s="28">
        <v>1.9</v>
      </c>
      <c r="K22" s="51">
        <v>1</v>
      </c>
      <c r="L22" s="28"/>
      <c r="M22" s="50">
        <v>5</v>
      </c>
      <c r="N22" s="30">
        <v>3.4</v>
      </c>
      <c r="O22" s="30" t="s">
        <v>71</v>
      </c>
    </row>
  </sheetData>
  <mergeCells count="8">
    <mergeCell ref="A1:D1"/>
    <mergeCell ref="M4:O4"/>
    <mergeCell ref="J4:L4"/>
    <mergeCell ref="G4:I4"/>
    <mergeCell ref="D4:F4"/>
    <mergeCell ref="A2:B2"/>
    <mergeCell ref="A3:B3"/>
    <mergeCell ref="E1:I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807FE-9058-47D6-BDAE-E0D70E67A3CC}">
  <dimension ref="A2:A8"/>
  <sheetViews>
    <sheetView workbookViewId="0">
      <selection activeCell="I11" sqref="I11"/>
    </sheetView>
  </sheetViews>
  <sheetFormatPr defaultRowHeight="15" x14ac:dyDescent="0.25"/>
  <sheetData>
    <row r="2" spans="1:1" x14ac:dyDescent="0.25">
      <c r="A2" s="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5E3CC9FA2ECE4EBFDF76E47A8C4064" ma:contentTypeVersion="18" ma:contentTypeDescription="Create a new document." ma:contentTypeScope="" ma:versionID="84df16331b039e6fc888ba3f6410313b">
  <xsd:schema xmlns:xsd="http://www.w3.org/2001/XMLSchema" xmlns:xs="http://www.w3.org/2001/XMLSchema" xmlns:p="http://schemas.microsoft.com/office/2006/metadata/properties" xmlns:ns2="d990a353-7f54-427d-900b-bd2d6b2200bd" xmlns:ns3="324046e5-088c-4a43-a43c-0606ba2f12f6" targetNamespace="http://schemas.microsoft.com/office/2006/metadata/properties" ma:root="true" ma:fieldsID="fd5a84514641a11829cbde4747944058" ns2:_="" ns3:_="">
    <xsd:import namespace="d990a353-7f54-427d-900b-bd2d6b2200bd"/>
    <xsd:import namespace="324046e5-088c-4a43-a43c-0606ba2f12f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90a353-7f54-427d-900b-bd2d6b2200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82a640c-e4b6-427c-aa47-37023f91ea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4046e5-088c-4a43-a43c-0606ba2f12f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733989d-eb3d-43db-8ee6-309c29086b3d}" ma:internalName="TaxCatchAll" ma:showField="CatchAllData" ma:web="324046e5-088c-4a43-a43c-0606ba2f12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90a353-7f54-427d-900b-bd2d6b2200bd">
      <Terms xmlns="http://schemas.microsoft.com/office/infopath/2007/PartnerControls"/>
    </lcf76f155ced4ddcb4097134ff3c332f>
    <TaxCatchAll xmlns="324046e5-088c-4a43-a43c-0606ba2f12f6" xsi:nil="true"/>
  </documentManagement>
</p:properties>
</file>

<file path=customXml/itemProps1.xml><?xml version="1.0" encoding="utf-8"?>
<ds:datastoreItem xmlns:ds="http://schemas.openxmlformats.org/officeDocument/2006/customXml" ds:itemID="{B71BF003-8395-4B52-9701-9A3788FEFEEB}">
  <ds:schemaRefs>
    <ds:schemaRef ds:uri="http://schemas.microsoft.com/sharepoint/v3/contenttype/forms"/>
  </ds:schemaRefs>
</ds:datastoreItem>
</file>

<file path=customXml/itemProps2.xml><?xml version="1.0" encoding="utf-8"?>
<ds:datastoreItem xmlns:ds="http://schemas.openxmlformats.org/officeDocument/2006/customXml" ds:itemID="{470FC541-C170-4905-AE42-BFA76091E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90a353-7f54-427d-900b-bd2d6b2200bd"/>
    <ds:schemaRef ds:uri="324046e5-088c-4a43-a43c-0606ba2f1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988EC4-20E3-4C16-B6AF-F418CCF5A713}">
  <ds:schemaRefs>
    <ds:schemaRef ds:uri="http://schemas.microsoft.com/office/2006/metadata/properties"/>
    <ds:schemaRef ds:uri="http://schemas.microsoft.com/office/infopath/2007/PartnerControls"/>
    <ds:schemaRef ds:uri="d990a353-7f54-427d-900b-bd2d6b2200bd"/>
    <ds:schemaRef ds:uri="324046e5-088c-4a43-a43c-0606ba2f12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Safety Data</vt:lpstr>
      <vt:lpstr>Notes On DQ and Errors</vt:lpstr>
      <vt:lpstr>Oregon Data</vt:lpstr>
      <vt:lpstr>Instructions for updating sheet</vt:lpstr>
      <vt:lpstr>'Safety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Taylor</dc:creator>
  <cp:keywords/>
  <dc:description/>
  <cp:lastModifiedBy>Holt Andron</cp:lastModifiedBy>
  <cp:revision/>
  <dcterms:created xsi:type="dcterms:W3CDTF">2015-06-05T18:17:20Z</dcterms:created>
  <dcterms:modified xsi:type="dcterms:W3CDTF">2026-01-14T18:27:21Z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0x010100BE5E3CC9FA2ECE4EBFDF76E47A8C4064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